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ustomProperty1.bin" ContentType="application/vnd.openxmlformats-officedocument.spreadsheetml.customProperty"/>
  <Override PartName="/xl/customProperty2.bin" ContentType="application/vnd.openxmlformats-officedocument.spreadsheetml.customProperty"/>
  <Override PartName="/xl/customProperty3.bin" ContentType="application/vnd.openxmlformats-officedocument.spreadsheetml.customProperty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3"/>
  <workbookPr/>
  <mc:AlternateContent xmlns:mc="http://schemas.openxmlformats.org/markup-compatibility/2006">
    <mc:Choice Requires="x15">
      <x15ac:absPath xmlns:x15ac="http://schemas.microsoft.com/office/spreadsheetml/2010/11/ac" url="C:\Program Files (x86)\Mimecast\PATI\temp\7778ec7e-a4c7-4abb-80b5-14ac1bcfd977\"/>
    </mc:Choice>
  </mc:AlternateContent>
  <xr:revisionPtr revIDLastSave="0" documentId="8_{0855BB19-5360-4EDC-AB38-C975FAA454A4}" xr6:coauthVersionLast="36" xr6:coauthVersionMax="36" xr10:uidLastSave="{00000000-0000-0000-0000-000000000000}"/>
  <bookViews>
    <workbookView xWindow="28635" yWindow="-165" windowWidth="25530" windowHeight="15480" xr2:uid="{00000000-000D-0000-FFFF-FFFF00000000}"/>
  </bookViews>
  <sheets>
    <sheet name="Warrants Worked Example_vMerger" sheetId="4" r:id="rId1"/>
    <sheet name="Warrants Worked Example" sheetId="1" r:id="rId2"/>
    <sheet name="IRR" sheetId="3" r:id="rId3"/>
    <sheet name="Debt" sheetId="2" r:id="rId4"/>
  </sheets>
  <definedNames>
    <definedName name="CIQWBGuid" hidden="1">"d4b43c40-490b-4977-8aad-5f6ce525677d"</definedName>
    <definedName name="IQ_CH">110000</definedName>
    <definedName name="IQ_CQ">5000</definedName>
    <definedName name="IQ_CY">10000</definedName>
    <definedName name="IQ_DAILY">500000</definedName>
    <definedName name="IQ_DNTM" hidden="1">700000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MTD" hidden="1">800000</definedName>
    <definedName name="IQ_NAMES_REVISION_DATE_" hidden="1">45479.8639583333</definedName>
    <definedName name="IQ_NTM">6000</definedName>
    <definedName name="IQ_QTD" hidden="1">750000</definedName>
    <definedName name="IQ_TODAY" hidden="1">0</definedName>
    <definedName name="IQ_WEEK">50000</definedName>
    <definedName name="IQ_YTD">3000</definedName>
    <definedName name="IQ_YTDMONTH" hidden="1">130000</definedName>
    <definedName name="_xlnm.Print_Area" localSheetId="3">Debt!$A$1:$AG$3</definedName>
    <definedName name="_xlnm.Print_Area" localSheetId="1">'Warrants Worked Example'!$A$1:$Y$45</definedName>
    <definedName name="_xlnm.Print_Area" localSheetId="0">'Warrants Worked Example_vMerger'!$A$1:$Y$59</definedName>
  </definedNames>
  <calcPr calcId="191029" calcMode="autoNoTable" iterate="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V14" i="4" l="1"/>
  <c r="T14" i="4"/>
  <c r="R14" i="4"/>
  <c r="P14" i="4"/>
  <c r="N14" i="4"/>
  <c r="L14" i="4"/>
  <c r="J14" i="4"/>
  <c r="H14" i="4"/>
  <c r="F14" i="4"/>
  <c r="F27" i="4"/>
  <c r="F30" i="4" s="1"/>
  <c r="E9" i="4"/>
  <c r="E10" i="4" s="1"/>
  <c r="H47" i="4"/>
  <c r="H46" i="4"/>
  <c r="R39" i="4"/>
  <c r="R43" i="4" s="1"/>
  <c r="L39" i="4"/>
  <c r="L43" i="4" s="1"/>
  <c r="F39" i="4"/>
  <c r="H39" i="4" s="1"/>
  <c r="H43" i="4" s="1"/>
  <c r="H38" i="4"/>
  <c r="J38" i="4" s="1"/>
  <c r="L38" i="4" s="1"/>
  <c r="N38" i="4" s="1"/>
  <c r="P38" i="4" s="1"/>
  <c r="R38" i="4" s="1"/>
  <c r="T38" i="4" s="1"/>
  <c r="V38" i="4" s="1"/>
  <c r="H37" i="4"/>
  <c r="J37" i="4" s="1"/>
  <c r="L37" i="4" s="1"/>
  <c r="N37" i="4" s="1"/>
  <c r="P37" i="4" s="1"/>
  <c r="R37" i="4" s="1"/>
  <c r="T37" i="4" s="1"/>
  <c r="V37" i="4" s="1"/>
  <c r="T36" i="4"/>
  <c r="V36" i="4" s="1"/>
  <c r="N36" i="4"/>
  <c r="P36" i="4" s="1"/>
  <c r="H36" i="4"/>
  <c r="J36" i="4" s="1"/>
  <c r="H35" i="4"/>
  <c r="J35" i="4" s="1"/>
  <c r="L35" i="4" s="1"/>
  <c r="N35" i="4" s="1"/>
  <c r="P35" i="4" s="1"/>
  <c r="R35" i="4" s="1"/>
  <c r="T35" i="4" s="1"/>
  <c r="V35" i="4" s="1"/>
  <c r="H25" i="4"/>
  <c r="J25" i="4" s="1"/>
  <c r="L25" i="4" s="1"/>
  <c r="N25" i="4" s="1"/>
  <c r="P25" i="4" s="1"/>
  <c r="R25" i="4" s="1"/>
  <c r="T25" i="4" s="1"/>
  <c r="V25" i="4" s="1"/>
  <c r="H24" i="4"/>
  <c r="J24" i="4" s="1"/>
  <c r="L24" i="4" s="1"/>
  <c r="N24" i="4" s="1"/>
  <c r="P24" i="4" s="1"/>
  <c r="R24" i="4" s="1"/>
  <c r="T24" i="4" s="1"/>
  <c r="V24" i="4" s="1"/>
  <c r="R20" i="4"/>
  <c r="V20" i="4" s="1"/>
  <c r="L20" i="4"/>
  <c r="P20" i="4" s="1"/>
  <c r="F20" i="4"/>
  <c r="J20" i="4" s="1"/>
  <c r="R19" i="4" a="1"/>
  <c r="R19" i="4" s="1"/>
  <c r="L19" i="4" a="1"/>
  <c r="L19" i="4" s="1"/>
  <c r="F19" i="4" a="1"/>
  <c r="F19" i="4" s="1"/>
  <c r="R18" i="4" a="1"/>
  <c r="R18" i="4" s="1"/>
  <c r="R21" i="4" s="1"/>
  <c r="R22" i="4" s="1"/>
  <c r="L18" i="4" a="1"/>
  <c r="L18" i="4" s="1"/>
  <c r="L21" i="4" s="1"/>
  <c r="L22" i="4" s="1"/>
  <c r="F18" i="4" a="1"/>
  <c r="F18" i="4" s="1"/>
  <c r="F21" i="4" s="1"/>
  <c r="F22" i="4" s="1"/>
  <c r="A2" i="4"/>
  <c r="F40" i="4" l="1"/>
  <c r="F33" i="4"/>
  <c r="J39" i="4"/>
  <c r="H27" i="4"/>
  <c r="H29" i="4" s="1"/>
  <c r="F29" i="4"/>
  <c r="H30" i="4"/>
  <c r="H40" i="4" s="1"/>
  <c r="J27" i="4"/>
  <c r="F32" i="4"/>
  <c r="T39" i="4"/>
  <c r="N39" i="4"/>
  <c r="F43" i="4"/>
  <c r="H20" i="4"/>
  <c r="P18" i="4"/>
  <c r="N18" i="4"/>
  <c r="J19" i="4"/>
  <c r="H19" i="4"/>
  <c r="V18" i="4"/>
  <c r="T18" i="4"/>
  <c r="V19" i="4"/>
  <c r="T19" i="4"/>
  <c r="P19" i="4"/>
  <c r="N19" i="4"/>
  <c r="J18" i="4"/>
  <c r="H18" i="4"/>
  <c r="N20" i="4"/>
  <c r="T20" i="4"/>
  <c r="J46" i="4"/>
  <c r="J47" i="4"/>
  <c r="J43" i="4" l="1"/>
  <c r="T43" i="4"/>
  <c r="N43" i="4"/>
  <c r="P39" i="4"/>
  <c r="J29" i="4"/>
  <c r="J30" i="4"/>
  <c r="J40" i="4" s="1"/>
  <c r="L27" i="4"/>
  <c r="H21" i="4"/>
  <c r="H22" i="4" s="1"/>
  <c r="V39" i="4"/>
  <c r="J21" i="4"/>
  <c r="J22" i="4" s="1"/>
  <c r="N21" i="4"/>
  <c r="N22" i="4" s="1"/>
  <c r="P21" i="4"/>
  <c r="P22" i="4" s="1"/>
  <c r="T21" i="4"/>
  <c r="T22" i="4" s="1"/>
  <c r="V21" i="4"/>
  <c r="V22" i="4" s="1"/>
  <c r="F42" i="4"/>
  <c r="F52" i="4"/>
  <c r="L47" i="4"/>
  <c r="L46" i="4"/>
  <c r="P43" i="4" l="1"/>
  <c r="V43" i="4"/>
  <c r="L30" i="4"/>
  <c r="L40" i="4" s="1"/>
  <c r="L29" i="4"/>
  <c r="L32" i="4" s="1"/>
  <c r="L52" i="4" s="1"/>
  <c r="N27" i="4"/>
  <c r="H33" i="4"/>
  <c r="H42" i="4" s="1"/>
  <c r="H44" i="4" s="1"/>
  <c r="H32" i="4"/>
  <c r="H52" i="4" s="1"/>
  <c r="J32" i="4"/>
  <c r="J52" i="4" s="1"/>
  <c r="J33" i="4"/>
  <c r="J42" i="4" s="1"/>
  <c r="J44" i="4" s="1"/>
  <c r="N46" i="4"/>
  <c r="N47" i="4"/>
  <c r="F44" i="4"/>
  <c r="L33" i="4" l="1"/>
  <c r="L42" i="4" s="1"/>
  <c r="L44" i="4" s="1"/>
  <c r="L49" i="4" s="1"/>
  <c r="N30" i="4"/>
  <c r="N40" i="4" s="1"/>
  <c r="N29" i="4"/>
  <c r="N32" i="4" s="1"/>
  <c r="N52" i="4" s="1"/>
  <c r="P27" i="4"/>
  <c r="P47" i="4"/>
  <c r="P46" i="4"/>
  <c r="H50" i="4"/>
  <c r="H54" i="4" s="1"/>
  <c r="H53" i="4" s="1"/>
  <c r="H60" i="4" s="1"/>
  <c r="H49" i="4"/>
  <c r="J50" i="4"/>
  <c r="J54" i="4" s="1"/>
  <c r="J53" i="4" s="1"/>
  <c r="J60" i="4" s="1"/>
  <c r="J49" i="4"/>
  <c r="F50" i="4"/>
  <c r="F54" i="4" s="1"/>
  <c r="F53" i="4" s="1"/>
  <c r="F60" i="4" s="1"/>
  <c r="F49" i="4"/>
  <c r="BG36" i="2"/>
  <c r="BF36" i="2"/>
  <c r="BE36" i="2"/>
  <c r="BD36" i="2"/>
  <c r="BC36" i="2"/>
  <c r="BB36" i="2"/>
  <c r="BA36" i="2"/>
  <c r="AZ36" i="2"/>
  <c r="AY36" i="2"/>
  <c r="AX36" i="2"/>
  <c r="AW36" i="2"/>
  <c r="AV36" i="2"/>
  <c r="AU36" i="2"/>
  <c r="AT36" i="2"/>
  <c r="AS36" i="2"/>
  <c r="AR36" i="2"/>
  <c r="AQ36" i="2"/>
  <c r="AP36" i="2"/>
  <c r="AO36" i="2"/>
  <c r="AN36" i="2"/>
  <c r="AM36" i="2"/>
  <c r="AL36" i="2"/>
  <c r="AK36" i="2"/>
  <c r="AJ36" i="2"/>
  <c r="AI36" i="2"/>
  <c r="AH36" i="2"/>
  <c r="AG36" i="2"/>
  <c r="AF36" i="2"/>
  <c r="AE36" i="2"/>
  <c r="AD36" i="2"/>
  <c r="AC36" i="2"/>
  <c r="AB36" i="2"/>
  <c r="AA36" i="2"/>
  <c r="Z36" i="2"/>
  <c r="Y36" i="2"/>
  <c r="X36" i="2"/>
  <c r="W36" i="2"/>
  <c r="V36" i="2"/>
  <c r="U36" i="2"/>
  <c r="T36" i="2"/>
  <c r="S36" i="2"/>
  <c r="R36" i="2"/>
  <c r="Q36" i="2"/>
  <c r="P36" i="2"/>
  <c r="O36" i="2"/>
  <c r="N36" i="2"/>
  <c r="M36" i="2"/>
  <c r="L36" i="2"/>
  <c r="K36" i="2"/>
  <c r="J36" i="2"/>
  <c r="I36" i="2"/>
  <c r="BG15" i="2"/>
  <c r="BF15" i="2"/>
  <c r="BE15" i="2"/>
  <c r="BD15" i="2"/>
  <c r="BC15" i="2"/>
  <c r="BB15" i="2"/>
  <c r="BA15" i="2"/>
  <c r="AZ15" i="2"/>
  <c r="AY15" i="2"/>
  <c r="AX15" i="2"/>
  <c r="AW15" i="2"/>
  <c r="AV15" i="2"/>
  <c r="AU15" i="2"/>
  <c r="AT15" i="2"/>
  <c r="AS15" i="2"/>
  <c r="AR15" i="2"/>
  <c r="AQ15" i="2"/>
  <c r="AP15" i="2"/>
  <c r="AO15" i="2"/>
  <c r="AN15" i="2"/>
  <c r="AM15" i="2"/>
  <c r="AL15" i="2"/>
  <c r="AK15" i="2"/>
  <c r="AJ15" i="2"/>
  <c r="AI15" i="2"/>
  <c r="AH15" i="2"/>
  <c r="AG15" i="2"/>
  <c r="AF15" i="2"/>
  <c r="AE15" i="2"/>
  <c r="AD15" i="2"/>
  <c r="AC15" i="2"/>
  <c r="AB15" i="2"/>
  <c r="AA15" i="2"/>
  <c r="Z15" i="2"/>
  <c r="Y15" i="2"/>
  <c r="X15" i="2"/>
  <c r="W15" i="2"/>
  <c r="V15" i="2"/>
  <c r="U15" i="2"/>
  <c r="T15" i="2"/>
  <c r="S15" i="2"/>
  <c r="R15" i="2"/>
  <c r="Q15" i="2"/>
  <c r="P15" i="2"/>
  <c r="O15" i="2"/>
  <c r="N15" i="2"/>
  <c r="M15" i="2"/>
  <c r="L15" i="2"/>
  <c r="K15" i="2"/>
  <c r="J15" i="2"/>
  <c r="I15" i="2"/>
  <c r="BG23" i="2"/>
  <c r="BG17" i="2"/>
  <c r="BG6" i="2"/>
  <c r="BG3" i="2"/>
  <c r="BF23" i="2"/>
  <c r="BE23" i="2"/>
  <c r="BD23" i="2"/>
  <c r="BC23" i="2"/>
  <c r="BB23" i="2"/>
  <c r="BA23" i="2"/>
  <c r="AZ23" i="2"/>
  <c r="AY23" i="2"/>
  <c r="AX23" i="2"/>
  <c r="AW23" i="2"/>
  <c r="AV23" i="2"/>
  <c r="BF17" i="2"/>
  <c r="BE17" i="2"/>
  <c r="BD17" i="2"/>
  <c r="BC17" i="2"/>
  <c r="BB17" i="2"/>
  <c r="BA17" i="2"/>
  <c r="AZ17" i="2"/>
  <c r="AY17" i="2"/>
  <c r="AX17" i="2"/>
  <c r="AW17" i="2"/>
  <c r="AV17" i="2"/>
  <c r="AW6" i="2"/>
  <c r="AX6" i="2" s="1"/>
  <c r="AY6" i="2" s="1"/>
  <c r="AZ6" i="2" s="1"/>
  <c r="BA6" i="2" s="1"/>
  <c r="BB6" i="2" s="1"/>
  <c r="BC6" i="2" s="1"/>
  <c r="BD6" i="2" s="1"/>
  <c r="BE6" i="2" s="1"/>
  <c r="BF6" i="2" s="1"/>
  <c r="AV6" i="2"/>
  <c r="AV4" i="2"/>
  <c r="AV3" i="2"/>
  <c r="L50" i="4" l="1"/>
  <c r="L54" i="4" s="1"/>
  <c r="L53" i="4" s="1"/>
  <c r="L60" i="4" s="1"/>
  <c r="N33" i="4"/>
  <c r="N42" i="4" s="1"/>
  <c r="N44" i="4" s="1"/>
  <c r="N50" i="4" s="1"/>
  <c r="N54" i="4" s="1"/>
  <c r="N53" i="4" s="1"/>
  <c r="N60" i="4" s="1"/>
  <c r="P30" i="4"/>
  <c r="P40" i="4" s="1"/>
  <c r="P29" i="4"/>
  <c r="P32" i="4" s="1"/>
  <c r="P52" i="4" s="1"/>
  <c r="R27" i="4"/>
  <c r="R46" i="4"/>
  <c r="R47" i="4"/>
  <c r="BG4" i="2"/>
  <c r="AV35" i="2"/>
  <c r="AW3" i="2"/>
  <c r="AV5" i="2"/>
  <c r="AV7" i="2" s="1"/>
  <c r="N49" i="4" l="1"/>
  <c r="P33" i="4"/>
  <c r="P42" i="4" s="1"/>
  <c r="P44" i="4" s="1"/>
  <c r="P49" i="4" s="1"/>
  <c r="R30" i="4"/>
  <c r="R40" i="4" s="1"/>
  <c r="R29" i="4"/>
  <c r="R32" i="4" s="1"/>
  <c r="R52" i="4" s="1"/>
  <c r="T27" i="4"/>
  <c r="T47" i="4"/>
  <c r="T46" i="4"/>
  <c r="BG35" i="2"/>
  <c r="BG5" i="2"/>
  <c r="BG7" i="2" s="1"/>
  <c r="AW4" i="2"/>
  <c r="P50" i="4" l="1"/>
  <c r="P54" i="4" s="1"/>
  <c r="P53" i="4" s="1"/>
  <c r="P60" i="4" s="1"/>
  <c r="R33" i="4"/>
  <c r="R42" i="4" s="1"/>
  <c r="R44" i="4" s="1"/>
  <c r="R50" i="4" s="1"/>
  <c r="R54" i="4" s="1"/>
  <c r="R53" i="4" s="1"/>
  <c r="R60" i="4" s="1"/>
  <c r="T30" i="4"/>
  <c r="T40" i="4" s="1"/>
  <c r="T29" i="4"/>
  <c r="T32" i="4" s="1"/>
  <c r="T52" i="4" s="1"/>
  <c r="V27" i="4"/>
  <c r="V46" i="4"/>
  <c r="V47" i="4"/>
  <c r="AW35" i="2"/>
  <c r="AX3" i="2"/>
  <c r="AW5" i="2"/>
  <c r="AW7" i="2" s="1"/>
  <c r="R49" i="4" l="1"/>
  <c r="T33" i="4"/>
  <c r="T42" i="4" s="1"/>
  <c r="T44" i="4" s="1"/>
  <c r="T49" i="4" s="1"/>
  <c r="V30" i="4"/>
  <c r="V40" i="4" s="1"/>
  <c r="V29" i="4"/>
  <c r="V32" i="4" s="1"/>
  <c r="V52" i="4" s="1"/>
  <c r="AX4" i="2"/>
  <c r="AX5" i="2"/>
  <c r="AX7" i="2" s="1"/>
  <c r="T50" i="4" l="1"/>
  <c r="T54" i="4" s="1"/>
  <c r="T53" i="4" s="1"/>
  <c r="T60" i="4" s="1"/>
  <c r="V33" i="4"/>
  <c r="V42" i="4" s="1"/>
  <c r="V44" i="4" s="1"/>
  <c r="AY3" i="2"/>
  <c r="AX35" i="2"/>
  <c r="V49" i="4" l="1"/>
  <c r="V50" i="4"/>
  <c r="V54" i="4" s="1"/>
  <c r="V53" i="4" s="1"/>
  <c r="V60" i="4" s="1"/>
  <c r="AY4" i="2"/>
  <c r="AZ3" i="2" l="1"/>
  <c r="AY35" i="2"/>
  <c r="AY5" i="2"/>
  <c r="AY7" i="2" s="1"/>
  <c r="AZ4" i="2" l="1"/>
  <c r="AZ35" i="2" l="1"/>
  <c r="BA3" i="2"/>
  <c r="AZ5" i="2"/>
  <c r="AZ7" i="2" s="1"/>
  <c r="BA4" i="2" l="1"/>
  <c r="BA35" i="2" l="1"/>
  <c r="BB3" i="2"/>
  <c r="BA5" i="2"/>
  <c r="BA7" i="2" s="1"/>
  <c r="BB4" i="2" l="1"/>
  <c r="BB35" i="2" l="1"/>
  <c r="BC3" i="2"/>
  <c r="BB5" i="2"/>
  <c r="BB7" i="2" s="1"/>
  <c r="BC4" i="2" l="1"/>
  <c r="BC5" i="2"/>
  <c r="BC7" i="2" s="1"/>
  <c r="BC35" i="2" l="1"/>
  <c r="BD3" i="2"/>
  <c r="BD4" i="2" l="1"/>
  <c r="BD5" i="2"/>
  <c r="BD7" i="2" s="1"/>
  <c r="BE3" i="2" l="1"/>
  <c r="BD35" i="2"/>
  <c r="BE4" i="2" l="1"/>
  <c r="BF3" i="2" l="1"/>
  <c r="BE35" i="2"/>
  <c r="BE5" i="2"/>
  <c r="BE7" i="2" s="1"/>
  <c r="BF4" i="2" l="1"/>
  <c r="BF35" i="2" l="1"/>
  <c r="BF5" i="2"/>
  <c r="BF7" i="2" s="1"/>
  <c r="R12" i="1" l="1"/>
  <c r="L12" i="1"/>
  <c r="F12" i="1"/>
  <c r="A2" i="2"/>
  <c r="I3" i="2"/>
  <c r="I4" i="2"/>
  <c r="J3" i="2"/>
  <c r="J4" i="2"/>
  <c r="I5" i="2"/>
  <c r="I7" i="2" s="1"/>
  <c r="I6" i="2"/>
  <c r="J6" i="2"/>
  <c r="K6" i="2"/>
  <c r="L6" i="2" s="1"/>
  <c r="M6" i="2"/>
  <c r="N6" i="2" s="1"/>
  <c r="O6" i="2" s="1"/>
  <c r="P6" i="2" s="1"/>
  <c r="Q6" i="2" s="1"/>
  <c r="R6" i="2" s="1"/>
  <c r="S6" i="2" s="1"/>
  <c r="T6" i="2" s="1"/>
  <c r="U6" i="2" s="1"/>
  <c r="V6" i="2" s="1"/>
  <c r="W6" i="2"/>
  <c r="X6" i="2" s="1"/>
  <c r="Y6" i="2" s="1"/>
  <c r="Z6" i="2" s="1"/>
  <c r="AA6" i="2" s="1"/>
  <c r="AB6" i="2" s="1"/>
  <c r="AC6" i="2" s="1"/>
  <c r="AD6" i="2"/>
  <c r="AE6" i="2" s="1"/>
  <c r="AF6" i="2"/>
  <c r="AG6" i="2"/>
  <c r="AH6" i="2"/>
  <c r="AI6" i="2" s="1"/>
  <c r="AJ6" i="2" s="1"/>
  <c r="AK6" i="2" s="1"/>
  <c r="AL6" i="2" s="1"/>
  <c r="AM6" i="2" s="1"/>
  <c r="AN6" i="2" s="1"/>
  <c r="AO6" i="2" s="1"/>
  <c r="AP6" i="2" s="1"/>
  <c r="AQ6" i="2" s="1"/>
  <c r="AR6" i="2" s="1"/>
  <c r="AS6" i="2" s="1"/>
  <c r="AT6" i="2" s="1"/>
  <c r="AU6" i="2" s="1"/>
  <c r="I11" i="2"/>
  <c r="I17" i="2"/>
  <c r="J17" i="2"/>
  <c r="K17" i="2"/>
  <c r="L17" i="2"/>
  <c r="M17" i="2"/>
  <c r="N17" i="2"/>
  <c r="O17" i="2"/>
  <c r="P17" i="2"/>
  <c r="Q17" i="2"/>
  <c r="R17" i="2"/>
  <c r="S17" i="2"/>
  <c r="T17" i="2"/>
  <c r="U17" i="2"/>
  <c r="V17" i="2"/>
  <c r="W17" i="2"/>
  <c r="X17" i="2"/>
  <c r="Y17" i="2"/>
  <c r="Z17" i="2"/>
  <c r="AA17" i="2"/>
  <c r="AB17" i="2"/>
  <c r="AC17" i="2"/>
  <c r="AD17" i="2"/>
  <c r="AE17" i="2"/>
  <c r="AF17" i="2"/>
  <c r="AG17" i="2"/>
  <c r="AH17" i="2"/>
  <c r="AI17" i="2"/>
  <c r="AJ17" i="2"/>
  <c r="AK17" i="2"/>
  <c r="AL17" i="2"/>
  <c r="AM17" i="2"/>
  <c r="AN17" i="2"/>
  <c r="AO17" i="2"/>
  <c r="AP17" i="2"/>
  <c r="AQ17" i="2"/>
  <c r="AR17" i="2"/>
  <c r="AS17" i="2"/>
  <c r="AT17" i="2"/>
  <c r="AU17" i="2"/>
  <c r="I23" i="2"/>
  <c r="J23" i="2"/>
  <c r="K23" i="2"/>
  <c r="L23" i="2"/>
  <c r="M23" i="2"/>
  <c r="N23" i="2"/>
  <c r="O23" i="2"/>
  <c r="P23" i="2"/>
  <c r="Q23" i="2"/>
  <c r="R23" i="2"/>
  <c r="S23" i="2"/>
  <c r="T23" i="2"/>
  <c r="U23" i="2"/>
  <c r="V23" i="2"/>
  <c r="W23" i="2"/>
  <c r="X23" i="2"/>
  <c r="Y23" i="2"/>
  <c r="Z23" i="2"/>
  <c r="AA23" i="2"/>
  <c r="AB23" i="2"/>
  <c r="AC23" i="2"/>
  <c r="AD23" i="2"/>
  <c r="AE23" i="2"/>
  <c r="AF23" i="2"/>
  <c r="AG23" i="2"/>
  <c r="AH23" i="2"/>
  <c r="AI23" i="2"/>
  <c r="AJ23" i="2"/>
  <c r="AK23" i="2"/>
  <c r="AL23" i="2"/>
  <c r="AM23" i="2"/>
  <c r="AN23" i="2"/>
  <c r="AO23" i="2"/>
  <c r="AP23" i="2"/>
  <c r="AQ23" i="2"/>
  <c r="AR23" i="2"/>
  <c r="AS23" i="2"/>
  <c r="AT23" i="2"/>
  <c r="AU23" i="2"/>
  <c r="I35" i="2"/>
  <c r="A2" i="3"/>
  <c r="B6" i="3"/>
  <c r="G6" i="3" s="1"/>
  <c r="L6" i="3" s="1"/>
  <c r="E6" i="3"/>
  <c r="J6" i="3"/>
  <c r="O6" i="3"/>
  <c r="B7" i="3"/>
  <c r="G7" i="3" s="1"/>
  <c r="L7" i="3" s="1"/>
  <c r="A2" i="1"/>
  <c r="H15" i="1"/>
  <c r="J15" i="1" s="1"/>
  <c r="L15" i="1" s="1"/>
  <c r="N15" i="1" s="1"/>
  <c r="P15" i="1" s="1"/>
  <c r="R15" i="1" s="1"/>
  <c r="T15" i="1" s="1"/>
  <c r="V15" i="1" s="1"/>
  <c r="H16" i="1"/>
  <c r="J16" i="1"/>
  <c r="L16" i="1" s="1"/>
  <c r="N16" i="1" s="1"/>
  <c r="P16" i="1" s="1"/>
  <c r="R16" i="1" s="1"/>
  <c r="T16" i="1" s="1"/>
  <c r="V16" i="1" s="1"/>
  <c r="H21" i="1"/>
  <c r="J21" i="1" s="1"/>
  <c r="L21" i="1" s="1"/>
  <c r="N21" i="1" s="1"/>
  <c r="P21" i="1" s="1"/>
  <c r="R21" i="1" s="1"/>
  <c r="T21" i="1" s="1"/>
  <c r="V21" i="1" s="1"/>
  <c r="H22" i="1"/>
  <c r="J22" i="1" s="1"/>
  <c r="N22" i="1"/>
  <c r="P22" i="1"/>
  <c r="T22" i="1"/>
  <c r="V22" i="1" s="1"/>
  <c r="H23" i="1"/>
  <c r="J23" i="1"/>
  <c r="L23" i="1" s="1"/>
  <c r="N23" i="1" s="1"/>
  <c r="P23" i="1" s="1"/>
  <c r="R23" i="1" s="1"/>
  <c r="T23" i="1" s="1"/>
  <c r="V23" i="1" s="1"/>
  <c r="H24" i="1"/>
  <c r="J24" i="1" s="1"/>
  <c r="L24" i="1" s="1"/>
  <c r="N24" i="1" s="1"/>
  <c r="P24" i="1" s="1"/>
  <c r="R24" i="1" s="1"/>
  <c r="T24" i="1" s="1"/>
  <c r="V24" i="1" s="1"/>
  <c r="F25" i="1"/>
  <c r="L25" i="1"/>
  <c r="R25" i="1"/>
  <c r="H32" i="1"/>
  <c r="J32" i="1" s="1"/>
  <c r="L32" i="1" s="1"/>
  <c r="N32" i="1" s="1"/>
  <c r="P32" i="1" s="1"/>
  <c r="R32" i="1" s="1"/>
  <c r="T32" i="1" s="1"/>
  <c r="H33" i="1"/>
  <c r="J33" i="1"/>
  <c r="L33" i="1"/>
  <c r="L26" i="1" l="1"/>
  <c r="F29" i="1"/>
  <c r="F26" i="1"/>
  <c r="T25" i="1"/>
  <c r="R26" i="1"/>
  <c r="M9" i="3"/>
  <c r="T29" i="1"/>
  <c r="R29" i="1"/>
  <c r="H25" i="1"/>
  <c r="V32" i="1"/>
  <c r="K3" i="2"/>
  <c r="J35" i="2"/>
  <c r="N33" i="1"/>
  <c r="I18" i="2"/>
  <c r="I19" i="2" s="1"/>
  <c r="I24" i="2"/>
  <c r="I25" i="2" s="1"/>
  <c r="J5" i="2"/>
  <c r="J7" i="2" s="1"/>
  <c r="N25" i="1"/>
  <c r="N26" i="1" s="1"/>
  <c r="L29" i="1"/>
  <c r="J25" i="1"/>
  <c r="H9" i="3"/>
  <c r="C9" i="3"/>
  <c r="V25" i="1" l="1"/>
  <c r="T26" i="1"/>
  <c r="J29" i="1"/>
  <c r="J26" i="1"/>
  <c r="H29" i="1"/>
  <c r="H26" i="1"/>
  <c r="I26" i="2"/>
  <c r="I27" i="2" s="1"/>
  <c r="I31" i="2" s="1"/>
  <c r="I20" i="2"/>
  <c r="I12" i="2" s="1"/>
  <c r="I13" i="2" s="1"/>
  <c r="P33" i="1"/>
  <c r="P25" i="1"/>
  <c r="N29" i="1"/>
  <c r="K4" i="2"/>
  <c r="K5" i="2"/>
  <c r="K7" i="2" s="1"/>
  <c r="P29" i="1" l="1"/>
  <c r="P26" i="1"/>
  <c r="V29" i="1"/>
  <c r="V26" i="1"/>
  <c r="L3" i="2"/>
  <c r="K35" i="2"/>
  <c r="R33" i="1"/>
  <c r="I29" i="2"/>
  <c r="J11" i="2"/>
  <c r="I21" i="2"/>
  <c r="I30" i="2" s="1"/>
  <c r="I32" i="2" l="1"/>
  <c r="T33" i="1"/>
  <c r="L4" i="2"/>
  <c r="L5" i="2" s="1"/>
  <c r="L7" i="2" s="1"/>
  <c r="J18" i="2"/>
  <c r="J19" i="2" s="1"/>
  <c r="J24" i="2"/>
  <c r="J25" i="2" s="1"/>
  <c r="J26" i="2" l="1"/>
  <c r="J27" i="2" s="1"/>
  <c r="J31" i="2" s="1"/>
  <c r="J20" i="2"/>
  <c r="J12" i="2" s="1"/>
  <c r="J13" i="2" s="1"/>
  <c r="L35" i="2"/>
  <c r="M3" i="2"/>
  <c r="V33" i="1"/>
  <c r="I37" i="2"/>
  <c r="J21" i="2" l="1"/>
  <c r="J30" i="2" s="1"/>
  <c r="M4" i="2"/>
  <c r="M5" i="2" s="1"/>
  <c r="M7" i="2" s="1"/>
  <c r="K11" i="2"/>
  <c r="J29" i="2"/>
  <c r="J32" i="2" l="1"/>
  <c r="M35" i="2"/>
  <c r="N3" i="2"/>
  <c r="K18" i="2"/>
  <c r="K19" i="2" s="1"/>
  <c r="K24" i="2"/>
  <c r="K25" i="2" s="1"/>
  <c r="K20" i="2" l="1"/>
  <c r="K12" i="2" s="1"/>
  <c r="K13" i="2" s="1"/>
  <c r="N5" i="2"/>
  <c r="N7" i="2" s="1"/>
  <c r="N4" i="2"/>
  <c r="J37" i="2"/>
  <c r="K26" i="2"/>
  <c r="K27" i="2" s="1"/>
  <c r="K31" i="2" s="1"/>
  <c r="O3" i="2" l="1"/>
  <c r="N35" i="2"/>
  <c r="L11" i="2"/>
  <c r="K29" i="2"/>
  <c r="K21" i="2"/>
  <c r="K30" i="2" s="1"/>
  <c r="K32" i="2" l="1"/>
  <c r="L24" i="2"/>
  <c r="L25" i="2" s="1"/>
  <c r="L18" i="2"/>
  <c r="L19" i="2" s="1"/>
  <c r="O4" i="2"/>
  <c r="O5" i="2" s="1"/>
  <c r="O7" i="2" s="1"/>
  <c r="P3" i="2" l="1"/>
  <c r="O35" i="2"/>
  <c r="L20" i="2"/>
  <c r="L12" i="2" s="1"/>
  <c r="L13" i="2" s="1"/>
  <c r="L26" i="2"/>
  <c r="L27" i="2" s="1"/>
  <c r="L31" i="2" s="1"/>
  <c r="K37" i="2"/>
  <c r="H12" i="1"/>
  <c r="J12" i="1"/>
  <c r="P4" i="2" l="1"/>
  <c r="P5" i="2"/>
  <c r="P7" i="2" s="1"/>
  <c r="M11" i="2"/>
  <c r="L29" i="2"/>
  <c r="L21" i="2"/>
  <c r="L30" i="2" s="1"/>
  <c r="L32" i="2" l="1"/>
  <c r="M18" i="2"/>
  <c r="M19" i="2" s="1"/>
  <c r="M24" i="2"/>
  <c r="M25" i="2" s="1"/>
  <c r="Q3" i="2"/>
  <c r="P35" i="2"/>
  <c r="M26" i="2" l="1"/>
  <c r="M27" i="2" s="1"/>
  <c r="M31" i="2" s="1"/>
  <c r="Q4" i="2"/>
  <c r="Q5" i="2" s="1"/>
  <c r="Q7" i="2" s="1"/>
  <c r="M20" i="2"/>
  <c r="M12" i="2" s="1"/>
  <c r="M13" i="2" s="1"/>
  <c r="L37" i="2"/>
  <c r="N11" i="2" l="1"/>
  <c r="M29" i="2"/>
  <c r="M21" i="2"/>
  <c r="M30" i="2" s="1"/>
  <c r="Q35" i="2"/>
  <c r="R3" i="2"/>
  <c r="R4" i="2" l="1"/>
  <c r="M32" i="2"/>
  <c r="N24" i="2"/>
  <c r="N25" i="2" s="1"/>
  <c r="N18" i="2"/>
  <c r="N19" i="2" s="1"/>
  <c r="N20" i="2" l="1"/>
  <c r="N12" i="2" s="1"/>
  <c r="N13" i="2" s="1"/>
  <c r="N26" i="2"/>
  <c r="N27" i="2" s="1"/>
  <c r="N31" i="2" s="1"/>
  <c r="M37" i="2"/>
  <c r="S3" i="2"/>
  <c r="R35" i="2"/>
  <c r="R5" i="2"/>
  <c r="R7" i="2" s="1"/>
  <c r="S4" i="2" l="1"/>
  <c r="N29" i="2"/>
  <c r="O11" i="2"/>
  <c r="N21" i="2"/>
  <c r="N30" i="2" s="1"/>
  <c r="O24" i="2" l="1"/>
  <c r="O25" i="2" s="1"/>
  <c r="O18" i="2"/>
  <c r="O19" i="2" s="1"/>
  <c r="N32" i="2"/>
  <c r="T3" i="2"/>
  <c r="S35" i="2"/>
  <c r="S5" i="2"/>
  <c r="S7" i="2" s="1"/>
  <c r="T4" i="2" l="1"/>
  <c r="N37" i="2"/>
  <c r="O20" i="2"/>
  <c r="O12" i="2" s="1"/>
  <c r="O13" i="2" s="1"/>
  <c r="O26" i="2"/>
  <c r="O27" i="2" s="1"/>
  <c r="O31" i="2" s="1"/>
  <c r="P11" i="2" l="1"/>
  <c r="O29" i="2"/>
  <c r="O21" i="2"/>
  <c r="O30" i="2" s="1"/>
  <c r="U3" i="2"/>
  <c r="T35" i="2"/>
  <c r="T5" i="2"/>
  <c r="T7" i="2" s="1"/>
  <c r="U4" i="2" l="1"/>
  <c r="U5" i="2" s="1"/>
  <c r="U7" i="2" s="1"/>
  <c r="O32" i="2"/>
  <c r="P24" i="2"/>
  <c r="P25" i="2" s="1"/>
  <c r="P18" i="2"/>
  <c r="P19" i="2" s="1"/>
  <c r="P26" i="2" l="1"/>
  <c r="P27" i="2" s="1"/>
  <c r="P31" i="2" s="1"/>
  <c r="P20" i="2"/>
  <c r="P12" i="2" s="1"/>
  <c r="P13" i="2" s="1"/>
  <c r="O37" i="2"/>
  <c r="U35" i="2"/>
  <c r="V3" i="2"/>
  <c r="P21" i="2" l="1"/>
  <c r="P30" i="2" s="1"/>
  <c r="P29" i="2"/>
  <c r="Q11" i="2"/>
  <c r="V4" i="2"/>
  <c r="W3" i="2" l="1"/>
  <c r="V35" i="2"/>
  <c r="V5" i="2"/>
  <c r="V7" i="2" s="1"/>
  <c r="Q18" i="2"/>
  <c r="Q19" i="2" s="1"/>
  <c r="Q24" i="2"/>
  <c r="Q25" i="2" s="1"/>
  <c r="P32" i="2"/>
  <c r="P37" i="2" l="1"/>
  <c r="Q26" i="2"/>
  <c r="Q27" i="2" s="1"/>
  <c r="Q31" i="2" s="1"/>
  <c r="Q20" i="2"/>
  <c r="Q12" i="2" s="1"/>
  <c r="Q13" i="2" s="1"/>
  <c r="W4" i="2"/>
  <c r="W5" i="2"/>
  <c r="W7" i="2" s="1"/>
  <c r="W35" i="2" l="1"/>
  <c r="X3" i="2"/>
  <c r="Q29" i="2"/>
  <c r="R11" i="2"/>
  <c r="Q21" i="2"/>
  <c r="Q30" i="2" s="1"/>
  <c r="R18" i="2" l="1"/>
  <c r="R19" i="2" s="1"/>
  <c r="R24" i="2"/>
  <c r="R25" i="2" s="1"/>
  <c r="Q32" i="2"/>
  <c r="X4" i="2"/>
  <c r="X5" i="2"/>
  <c r="X7" i="2" s="1"/>
  <c r="Y3" i="2" l="1"/>
  <c r="X35" i="2"/>
  <c r="R20" i="2"/>
  <c r="R12" i="2" s="1"/>
  <c r="R13" i="2" s="1"/>
  <c r="Q37" i="2"/>
  <c r="R26" i="2"/>
  <c r="R27" i="2" s="1"/>
  <c r="R31" i="2" s="1"/>
  <c r="R21" i="2" l="1"/>
  <c r="R30" i="2" s="1"/>
  <c r="S11" i="2"/>
  <c r="R29" i="2"/>
  <c r="Y4" i="2"/>
  <c r="Y35" i="2" l="1"/>
  <c r="Z3" i="2"/>
  <c r="Y5" i="2"/>
  <c r="Y7" i="2" s="1"/>
  <c r="R32" i="2"/>
  <c r="S24" i="2"/>
  <c r="S25" i="2" s="1"/>
  <c r="S18" i="2"/>
  <c r="S19" i="2" s="1"/>
  <c r="S20" i="2" l="1"/>
  <c r="S12" i="2" s="1"/>
  <c r="S13" i="2" s="1"/>
  <c r="S26" i="2"/>
  <c r="S27" i="2" s="1"/>
  <c r="S31" i="2" s="1"/>
  <c r="R37" i="2"/>
  <c r="Z4" i="2"/>
  <c r="AA3" i="2" l="1"/>
  <c r="Z35" i="2"/>
  <c r="T11" i="2"/>
  <c r="S29" i="2"/>
  <c r="Z5" i="2"/>
  <c r="Z7" i="2" s="1"/>
  <c r="S21" i="2"/>
  <c r="S30" i="2" s="1"/>
  <c r="S32" i="2" l="1"/>
  <c r="T24" i="2"/>
  <c r="T25" i="2" s="1"/>
  <c r="T18" i="2"/>
  <c r="T19" i="2" s="1"/>
  <c r="AA4" i="2"/>
  <c r="AB3" i="2" l="1"/>
  <c r="AA35" i="2"/>
  <c r="AA5" i="2"/>
  <c r="AA7" i="2" s="1"/>
  <c r="T20" i="2"/>
  <c r="T12" i="2" s="1"/>
  <c r="T13" i="2" s="1"/>
  <c r="T26" i="2"/>
  <c r="T27" i="2" s="1"/>
  <c r="T31" i="2" s="1"/>
  <c r="S37" i="2"/>
  <c r="T21" i="2" l="1"/>
  <c r="T30" i="2" s="1"/>
  <c r="T29" i="2"/>
  <c r="U11" i="2"/>
  <c r="AB4" i="2"/>
  <c r="AC3" i="2" l="1"/>
  <c r="AB35" i="2"/>
  <c r="AB5" i="2"/>
  <c r="AB7" i="2" s="1"/>
  <c r="U18" i="2"/>
  <c r="U19" i="2" s="1"/>
  <c r="U24" i="2"/>
  <c r="U25" i="2" s="1"/>
  <c r="T32" i="2"/>
  <c r="T37" i="2" l="1"/>
  <c r="U26" i="2"/>
  <c r="U27" i="2" s="1"/>
  <c r="U31" i="2" s="1"/>
  <c r="U20" i="2"/>
  <c r="U12" i="2" s="1"/>
  <c r="U13" i="2" s="1"/>
  <c r="AC4" i="2"/>
  <c r="AC5" i="2"/>
  <c r="AC7" i="2" s="1"/>
  <c r="U21" i="2" l="1"/>
  <c r="U30" i="2" s="1"/>
  <c r="V11" i="2"/>
  <c r="U29" i="2"/>
  <c r="AC35" i="2"/>
  <c r="AD3" i="2"/>
  <c r="U32" i="2" l="1"/>
  <c r="V18" i="2"/>
  <c r="V19" i="2" s="1"/>
  <c r="V24" i="2"/>
  <c r="V25" i="2" s="1"/>
  <c r="AD4" i="2"/>
  <c r="AD5" i="2" s="1"/>
  <c r="AD7" i="2" s="1"/>
  <c r="V20" i="2" l="1"/>
  <c r="V12" i="2" s="1"/>
  <c r="V13" i="2" s="1"/>
  <c r="AD35" i="2"/>
  <c r="AE3" i="2"/>
  <c r="V26" i="2"/>
  <c r="V27" i="2" s="1"/>
  <c r="V31" i="2" s="1"/>
  <c r="U37" i="2"/>
  <c r="AE4" i="2" l="1"/>
  <c r="W11" i="2"/>
  <c r="V29" i="2"/>
  <c r="V21" i="2"/>
  <c r="V30" i="2" s="1"/>
  <c r="V32" i="2" l="1"/>
  <c r="W24" i="2"/>
  <c r="W25" i="2" s="1"/>
  <c r="W18" i="2"/>
  <c r="W19" i="2" s="1"/>
  <c r="AF3" i="2"/>
  <c r="AE35" i="2"/>
  <c r="AE5" i="2"/>
  <c r="AE7" i="2" s="1"/>
  <c r="AF5" i="2" l="1"/>
  <c r="AF7" i="2" s="1"/>
  <c r="AF4" i="2"/>
  <c r="W26" i="2"/>
  <c r="W27" i="2" s="1"/>
  <c r="W31" i="2" s="1"/>
  <c r="W20" i="2"/>
  <c r="W12" i="2" s="1"/>
  <c r="W13" i="2" s="1"/>
  <c r="V37" i="2"/>
  <c r="X11" i="2" l="1"/>
  <c r="W29" i="2"/>
  <c r="W21" i="2"/>
  <c r="W30" i="2" s="1"/>
  <c r="AG3" i="2"/>
  <c r="AF35" i="2"/>
  <c r="W32" i="2" l="1"/>
  <c r="AG4" i="2"/>
  <c r="X18" i="2"/>
  <c r="X19" i="2" s="1"/>
  <c r="X24" i="2"/>
  <c r="X25" i="2" s="1"/>
  <c r="X26" i="2" l="1"/>
  <c r="X27" i="2" s="1"/>
  <c r="X31" i="2" s="1"/>
  <c r="X20" i="2"/>
  <c r="X12" i="2" s="1"/>
  <c r="X13" i="2" s="1"/>
  <c r="N12" i="1"/>
  <c r="P12" i="1"/>
  <c r="W37" i="2"/>
  <c r="AH3" i="2"/>
  <c r="AG35" i="2"/>
  <c r="AG5" i="2"/>
  <c r="AG7" i="2" s="1"/>
  <c r="AH4" i="2" l="1"/>
  <c r="X29" i="2"/>
  <c r="Y11" i="2"/>
  <c r="X21" i="2"/>
  <c r="X30" i="2" s="1"/>
  <c r="Y24" i="2" l="1"/>
  <c r="Y25" i="2" s="1"/>
  <c r="Y18" i="2"/>
  <c r="Y19" i="2" s="1"/>
  <c r="X32" i="2"/>
  <c r="AI3" i="2"/>
  <c r="AH35" i="2"/>
  <c r="AH5" i="2"/>
  <c r="AH7" i="2" s="1"/>
  <c r="AI4" i="2" l="1"/>
  <c r="AI5" i="2" s="1"/>
  <c r="AI7" i="2" s="1"/>
  <c r="X37" i="2"/>
  <c r="Y20" i="2"/>
  <c r="Y12" i="2" s="1"/>
  <c r="Y13" i="2" s="1"/>
  <c r="Y26" i="2"/>
  <c r="Y27" i="2" s="1"/>
  <c r="Y31" i="2" s="1"/>
  <c r="Y21" i="2" l="1"/>
  <c r="Y30" i="2" s="1"/>
  <c r="Y29" i="2"/>
  <c r="Z11" i="2"/>
  <c r="AJ3" i="2"/>
  <c r="AI35" i="2"/>
  <c r="AJ4" i="2" l="1"/>
  <c r="AJ5" i="2" s="1"/>
  <c r="AJ7" i="2" s="1"/>
  <c r="Z18" i="2"/>
  <c r="Z19" i="2" s="1"/>
  <c r="Z24" i="2"/>
  <c r="Z25" i="2" s="1"/>
  <c r="Y32" i="2"/>
  <c r="Y37" i="2" l="1"/>
  <c r="Z26" i="2"/>
  <c r="Z27" i="2" s="1"/>
  <c r="Z31" i="2" s="1"/>
  <c r="Z20" i="2"/>
  <c r="Z12" i="2" s="1"/>
  <c r="Z13" i="2" s="1"/>
  <c r="AK3" i="2"/>
  <c r="AJ35" i="2"/>
  <c r="AK4" i="2" l="1"/>
  <c r="AK5" i="2"/>
  <c r="AK7" i="2" s="1"/>
  <c r="AA11" i="2"/>
  <c r="Z29" i="2"/>
  <c r="Z21" i="2"/>
  <c r="Z30" i="2" s="1"/>
  <c r="AA18" i="2" l="1"/>
  <c r="AA19" i="2" s="1"/>
  <c r="AA24" i="2"/>
  <c r="AA25" i="2" s="1"/>
  <c r="Z32" i="2"/>
  <c r="AL3" i="2"/>
  <c r="AK35" i="2"/>
  <c r="AL4" i="2" l="1"/>
  <c r="AL5" i="2" s="1"/>
  <c r="AL7" i="2" s="1"/>
  <c r="Z37" i="2"/>
  <c r="AA26" i="2"/>
  <c r="AA27" i="2" s="1"/>
  <c r="AA31" i="2" s="1"/>
  <c r="AA20" i="2"/>
  <c r="AA12" i="2" s="1"/>
  <c r="AA13" i="2" s="1"/>
  <c r="AB11" i="2" l="1"/>
  <c r="AA29" i="2"/>
  <c r="AA21" i="2"/>
  <c r="AA30" i="2" s="1"/>
  <c r="AM3" i="2"/>
  <c r="AL35" i="2"/>
  <c r="AM4" i="2" l="1"/>
  <c r="AA32" i="2"/>
  <c r="AB24" i="2"/>
  <c r="AB25" i="2" s="1"/>
  <c r="AB18" i="2"/>
  <c r="AB19" i="2" s="1"/>
  <c r="AB20" i="2" l="1"/>
  <c r="AB12" i="2" s="1"/>
  <c r="AB13" i="2" s="1"/>
  <c r="AM35" i="2"/>
  <c r="AN3" i="2"/>
  <c r="AB26" i="2"/>
  <c r="AB27" i="2" s="1"/>
  <c r="AB31" i="2" s="1"/>
  <c r="AA37" i="2"/>
  <c r="AM5" i="2"/>
  <c r="AM7" i="2" s="1"/>
  <c r="AN4" i="2" l="1"/>
  <c r="AB29" i="2"/>
  <c r="AC11" i="2"/>
  <c r="AB21" i="2"/>
  <c r="AB30" i="2" s="1"/>
  <c r="AC18" i="2" l="1"/>
  <c r="AC19" i="2" s="1"/>
  <c r="AC24" i="2"/>
  <c r="AC25" i="2" s="1"/>
  <c r="AB32" i="2"/>
  <c r="AO3" i="2"/>
  <c r="AN35" i="2"/>
  <c r="AN5" i="2"/>
  <c r="AN7" i="2" s="1"/>
  <c r="AO4" i="2" l="1"/>
  <c r="AB37" i="2"/>
  <c r="AC26" i="2"/>
  <c r="AC27" i="2" s="1"/>
  <c r="AC31" i="2" s="1"/>
  <c r="AC20" i="2"/>
  <c r="AC12" i="2" s="1"/>
  <c r="AC13" i="2" s="1"/>
  <c r="AO35" i="2" l="1"/>
  <c r="AP3" i="2"/>
  <c r="AO5" i="2"/>
  <c r="AO7" i="2" s="1"/>
  <c r="AC29" i="2"/>
  <c r="AD11" i="2"/>
  <c r="AC21" i="2"/>
  <c r="AC30" i="2" s="1"/>
  <c r="AP4" i="2" l="1"/>
  <c r="AD24" i="2"/>
  <c r="AD25" i="2" s="1"/>
  <c r="AD18" i="2"/>
  <c r="AD19" i="2" s="1"/>
  <c r="AC32" i="2"/>
  <c r="AC37" i="2" l="1"/>
  <c r="AD20" i="2"/>
  <c r="AD12" i="2" s="1"/>
  <c r="AD13" i="2" s="1"/>
  <c r="AD26" i="2"/>
  <c r="AD27" i="2" s="1"/>
  <c r="AD31" i="2" s="1"/>
  <c r="AP35" i="2"/>
  <c r="AQ3" i="2"/>
  <c r="AP5" i="2"/>
  <c r="AP7" i="2" s="1"/>
  <c r="AD21" i="2" l="1"/>
  <c r="AD30" i="2" s="1"/>
  <c r="AQ4" i="2"/>
  <c r="AE11" i="2"/>
  <c r="AD29" i="2"/>
  <c r="AD32" i="2" l="1"/>
  <c r="AE24" i="2"/>
  <c r="AE25" i="2" s="1"/>
  <c r="AE18" i="2"/>
  <c r="AE19" i="2" s="1"/>
  <c r="AR3" i="2"/>
  <c r="AQ35" i="2"/>
  <c r="AQ5" i="2"/>
  <c r="AQ7" i="2" s="1"/>
  <c r="AR4" i="2" l="1"/>
  <c r="AE20" i="2"/>
  <c r="AE12" i="2" s="1"/>
  <c r="AE13" i="2" s="1"/>
  <c r="AE26" i="2"/>
  <c r="AE27" i="2" s="1"/>
  <c r="AE31" i="2" s="1"/>
  <c r="AD37" i="2"/>
  <c r="AS3" i="2" l="1"/>
  <c r="AR35" i="2"/>
  <c r="AF11" i="2"/>
  <c r="AE29" i="2"/>
  <c r="AE21" i="2"/>
  <c r="AE30" i="2" s="1"/>
  <c r="AR5" i="2"/>
  <c r="AR7" i="2" s="1"/>
  <c r="AE32" i="2" l="1"/>
  <c r="AF24" i="2"/>
  <c r="AF25" i="2" s="1"/>
  <c r="AF18" i="2"/>
  <c r="AF19" i="2" s="1"/>
  <c r="AS4" i="2"/>
  <c r="AS35" i="2" l="1"/>
  <c r="AT3" i="2"/>
  <c r="AF20" i="2"/>
  <c r="AF12" i="2" s="1"/>
  <c r="AF13" i="2" s="1"/>
  <c r="AF26" i="2"/>
  <c r="AF27" i="2" s="1"/>
  <c r="AF31" i="2" s="1"/>
  <c r="AE37" i="2"/>
  <c r="AS5" i="2"/>
  <c r="AS7" i="2" s="1"/>
  <c r="AG11" i="2" l="1"/>
  <c r="AF29" i="2"/>
  <c r="AF21" i="2"/>
  <c r="AF30" i="2" s="1"/>
  <c r="AT4" i="2"/>
  <c r="AT5" i="2" s="1"/>
  <c r="AT7" i="2" s="1"/>
  <c r="AF32" i="2" l="1"/>
  <c r="AU3" i="2"/>
  <c r="AT35" i="2"/>
  <c r="AG18" i="2"/>
  <c r="AG19" i="2" s="1"/>
  <c r="AG24" i="2"/>
  <c r="AG25" i="2" s="1"/>
  <c r="AG20" i="2" l="1"/>
  <c r="AG12" i="2" s="1"/>
  <c r="AG13" i="2" s="1"/>
  <c r="AF37" i="2"/>
  <c r="AU4" i="2"/>
  <c r="AU5" i="2" s="1"/>
  <c r="AU7" i="2" s="1"/>
  <c r="AG26" i="2"/>
  <c r="AG27" i="2" s="1"/>
  <c r="AG31" i="2" s="1"/>
  <c r="AG21" i="2" l="1"/>
  <c r="AG30" i="2" s="1"/>
  <c r="AU35" i="2"/>
  <c r="R10" i="1" a="1"/>
  <c r="R10" i="1" s="1"/>
  <c r="F10" i="1" a="1"/>
  <c r="F10" i="1" s="1"/>
  <c r="L10" i="1" a="1"/>
  <c r="L10" i="1" s="1"/>
  <c r="AG29" i="2"/>
  <c r="AH11" i="2"/>
  <c r="N10" i="1" l="1"/>
  <c r="P10" i="1"/>
  <c r="H10" i="1"/>
  <c r="J10" i="1"/>
  <c r="AH18" i="2"/>
  <c r="AH19" i="2" s="1"/>
  <c r="AH24" i="2"/>
  <c r="AH25" i="2" s="1"/>
  <c r="AG32" i="2"/>
  <c r="T10" i="1"/>
  <c r="V10" i="1"/>
  <c r="AH20" i="2" l="1"/>
  <c r="AH12" i="2" s="1"/>
  <c r="AH13" i="2" s="1"/>
  <c r="AG37" i="2"/>
  <c r="AH26" i="2"/>
  <c r="AH27" i="2" s="1"/>
  <c r="AH31" i="2" s="1"/>
  <c r="AI11" i="2" l="1"/>
  <c r="AH29" i="2"/>
  <c r="AH21" i="2"/>
  <c r="AH30" i="2" s="1"/>
  <c r="AH32" i="2" l="1"/>
  <c r="AI24" i="2"/>
  <c r="AI25" i="2" s="1"/>
  <c r="AI18" i="2"/>
  <c r="AI19" i="2" s="1"/>
  <c r="AH37" i="2" l="1"/>
  <c r="AI20" i="2"/>
  <c r="AI12" i="2" s="1"/>
  <c r="AI13" i="2" s="1"/>
  <c r="AI26" i="2"/>
  <c r="AI27" i="2" s="1"/>
  <c r="AI31" i="2" s="1"/>
  <c r="AI21" i="2" l="1"/>
  <c r="AI30" i="2" s="1"/>
  <c r="AJ11" i="2"/>
  <c r="AI29" i="2"/>
  <c r="AI32" i="2" l="1"/>
  <c r="AJ24" i="2"/>
  <c r="AJ25" i="2" s="1"/>
  <c r="AJ18" i="2"/>
  <c r="AJ19" i="2" s="1"/>
  <c r="AJ20" i="2" l="1"/>
  <c r="AJ12" i="2" s="1"/>
  <c r="AJ13" i="2" s="1"/>
  <c r="AJ26" i="2"/>
  <c r="AJ27" i="2" s="1"/>
  <c r="AJ31" i="2" s="1"/>
  <c r="AI37" i="2"/>
  <c r="T12" i="1"/>
  <c r="V12" i="1"/>
  <c r="AJ21" i="2" l="1"/>
  <c r="AJ30" i="2" s="1"/>
  <c r="AK11" i="2"/>
  <c r="AJ29" i="2"/>
  <c r="AJ32" i="2" l="1"/>
  <c r="AK18" i="2"/>
  <c r="AK19" i="2" s="1"/>
  <c r="AK24" i="2"/>
  <c r="AK25" i="2" s="1"/>
  <c r="AK20" i="2" l="1"/>
  <c r="AK12" i="2" s="1"/>
  <c r="AK13" i="2" s="1"/>
  <c r="AK26" i="2"/>
  <c r="AK27" i="2" s="1"/>
  <c r="AK31" i="2" s="1"/>
  <c r="AJ37" i="2"/>
  <c r="AK29" i="2" l="1"/>
  <c r="AL11" i="2"/>
  <c r="AK21" i="2"/>
  <c r="AK30" i="2" s="1"/>
  <c r="AL18" i="2" l="1"/>
  <c r="AL19" i="2" s="1"/>
  <c r="AL24" i="2"/>
  <c r="AL25" i="2" s="1"/>
  <c r="AK32" i="2"/>
  <c r="AK37" i="2" l="1"/>
  <c r="AL20" i="2"/>
  <c r="AL12" i="2" s="1"/>
  <c r="AL13" i="2" s="1"/>
  <c r="AL26" i="2"/>
  <c r="AL27" i="2" s="1"/>
  <c r="AL31" i="2" s="1"/>
  <c r="AL21" i="2" l="1"/>
  <c r="AL30" i="2" s="1"/>
  <c r="AL29" i="2"/>
  <c r="AM11" i="2"/>
  <c r="AM24" i="2" l="1"/>
  <c r="AM25" i="2" s="1"/>
  <c r="AM18" i="2"/>
  <c r="AM19" i="2" s="1"/>
  <c r="AL32" i="2"/>
  <c r="AM26" i="2" l="1"/>
  <c r="AM27" i="2" s="1"/>
  <c r="AM31" i="2" s="1"/>
  <c r="AL37" i="2"/>
  <c r="AM20" i="2"/>
  <c r="AM12" i="2" s="1"/>
  <c r="AM13" i="2" s="1"/>
  <c r="AM21" i="2" l="1"/>
  <c r="AM30" i="2" s="1"/>
  <c r="AN11" i="2"/>
  <c r="AM29" i="2"/>
  <c r="AN24" i="2" l="1"/>
  <c r="AN25" i="2" s="1"/>
  <c r="AN18" i="2"/>
  <c r="AN19" i="2" s="1"/>
  <c r="AM32" i="2"/>
  <c r="AN20" i="2" l="1"/>
  <c r="AN12" i="2" s="1"/>
  <c r="AN13" i="2" s="1"/>
  <c r="AN26" i="2"/>
  <c r="AN27" i="2" s="1"/>
  <c r="AN31" i="2" s="1"/>
  <c r="AM37" i="2"/>
  <c r="AN29" i="2" l="1"/>
  <c r="AO11" i="2"/>
  <c r="AN21" i="2"/>
  <c r="AN30" i="2" s="1"/>
  <c r="AN32" i="2" l="1"/>
  <c r="AO18" i="2"/>
  <c r="AO19" i="2" s="1"/>
  <c r="AO24" i="2"/>
  <c r="AO25" i="2" s="1"/>
  <c r="AO26" i="2" l="1"/>
  <c r="AO27" i="2" s="1"/>
  <c r="AO31" i="2" s="1"/>
  <c r="AO20" i="2"/>
  <c r="AO12" i="2" s="1"/>
  <c r="AO13" i="2" s="1"/>
  <c r="AN37" i="2"/>
  <c r="AO29" i="2" l="1"/>
  <c r="AP11" i="2"/>
  <c r="AO21" i="2"/>
  <c r="AO30" i="2" s="1"/>
  <c r="AP18" i="2" l="1"/>
  <c r="AP19" i="2" s="1"/>
  <c r="AP24" i="2"/>
  <c r="AP25" i="2" s="1"/>
  <c r="AO32" i="2"/>
  <c r="AP26" i="2" l="1"/>
  <c r="AP27" i="2" s="1"/>
  <c r="AP31" i="2" s="1"/>
  <c r="AP20" i="2"/>
  <c r="AP12" i="2" s="1"/>
  <c r="AP13" i="2" s="1"/>
  <c r="AO37" i="2"/>
  <c r="AQ11" i="2" l="1"/>
  <c r="AP29" i="2"/>
  <c r="AP21" i="2"/>
  <c r="AP30" i="2" s="1"/>
  <c r="AP32" i="2" l="1"/>
  <c r="AQ18" i="2"/>
  <c r="AQ19" i="2" s="1"/>
  <c r="AQ24" i="2"/>
  <c r="AQ25" i="2" s="1"/>
  <c r="AQ20" i="2" l="1"/>
  <c r="AQ12" i="2" s="1"/>
  <c r="AQ13" i="2" s="1"/>
  <c r="AQ26" i="2"/>
  <c r="AQ27" i="2" s="1"/>
  <c r="AQ31" i="2" s="1"/>
  <c r="AP37" i="2"/>
  <c r="AR11" i="2" l="1"/>
  <c r="AQ29" i="2"/>
  <c r="AQ21" i="2"/>
  <c r="AQ30" i="2" s="1"/>
  <c r="AQ32" i="2" l="1"/>
  <c r="AR18" i="2"/>
  <c r="AR19" i="2" s="1"/>
  <c r="AR24" i="2"/>
  <c r="AR25" i="2" s="1"/>
  <c r="AR20" i="2" l="1"/>
  <c r="AR12" i="2" s="1"/>
  <c r="AR13" i="2" s="1"/>
  <c r="AR26" i="2"/>
  <c r="AR27" i="2" s="1"/>
  <c r="AR31" i="2" s="1"/>
  <c r="AQ37" i="2"/>
  <c r="AS11" i="2" l="1"/>
  <c r="AR29" i="2"/>
  <c r="AR21" i="2"/>
  <c r="AR30" i="2" s="1"/>
  <c r="AR32" i="2" l="1"/>
  <c r="AS18" i="2"/>
  <c r="AS19" i="2" s="1"/>
  <c r="AS24" i="2"/>
  <c r="AS25" i="2" s="1"/>
  <c r="AS26" i="2" l="1"/>
  <c r="AS27" i="2" s="1"/>
  <c r="AS31" i="2" s="1"/>
  <c r="AS20" i="2"/>
  <c r="AS12" i="2" s="1"/>
  <c r="AS13" i="2" s="1"/>
  <c r="AR37" i="2"/>
  <c r="AT11" i="2" l="1"/>
  <c r="AS29" i="2"/>
  <c r="AS21" i="2"/>
  <c r="AS30" i="2" s="1"/>
  <c r="AS32" i="2" l="1"/>
  <c r="AT18" i="2"/>
  <c r="AT19" i="2" s="1"/>
  <c r="AT24" i="2"/>
  <c r="AT25" i="2" s="1"/>
  <c r="AT26" i="2" l="1"/>
  <c r="AT27" i="2" s="1"/>
  <c r="AT31" i="2" s="1"/>
  <c r="AS37" i="2"/>
  <c r="AT20" i="2"/>
  <c r="AT12" i="2" s="1"/>
  <c r="AT13" i="2" s="1"/>
  <c r="AT21" i="2" l="1"/>
  <c r="AT30" i="2" s="1"/>
  <c r="AU11" i="2"/>
  <c r="AT29" i="2"/>
  <c r="AT32" i="2" l="1"/>
  <c r="AU18" i="2"/>
  <c r="AU19" i="2" s="1"/>
  <c r="AU24" i="2"/>
  <c r="AU25" i="2" s="1"/>
  <c r="AU20" i="2" l="1"/>
  <c r="AU12" i="2" s="1"/>
  <c r="AU13" i="2" s="1"/>
  <c r="AU26" i="2"/>
  <c r="AU27" i="2" s="1"/>
  <c r="AU31" i="2" s="1"/>
  <c r="AT37" i="2"/>
  <c r="AU29" i="2" l="1"/>
  <c r="AV11" i="2"/>
  <c r="AU21" i="2"/>
  <c r="AU30" i="2" s="1"/>
  <c r="AU32" i="2" l="1"/>
  <c r="AU37" i="2" s="1"/>
  <c r="AV18" i="2"/>
  <c r="AV19" i="2" s="1"/>
  <c r="AV24" i="2"/>
  <c r="AV25" i="2" s="1"/>
  <c r="AV20" i="2" l="1"/>
  <c r="AV12" i="2" s="1"/>
  <c r="AV13" i="2" s="1"/>
  <c r="AV26" i="2"/>
  <c r="AV27" i="2"/>
  <c r="AV31" i="2" s="1"/>
  <c r="L11" i="1" a="1"/>
  <c r="L11" i="1" s="1"/>
  <c r="L13" i="1" s="1"/>
  <c r="F11" i="1" a="1"/>
  <c r="F11" i="1" s="1"/>
  <c r="J11" i="1" s="1"/>
  <c r="J13" i="1" s="1"/>
  <c r="R11" i="1" a="1"/>
  <c r="R11" i="1" s="1"/>
  <c r="V11" i="1" s="1"/>
  <c r="V13" i="1" s="1"/>
  <c r="AV21" i="2" l="1"/>
  <c r="AV30" i="2" s="1"/>
  <c r="T11" i="1"/>
  <c r="T13" i="1" s="1"/>
  <c r="T18" i="1" s="1"/>
  <c r="T38" i="1" s="1"/>
  <c r="N11" i="1"/>
  <c r="N13" i="1" s="1"/>
  <c r="N19" i="1" s="1"/>
  <c r="N28" i="1" s="1"/>
  <c r="P11" i="1"/>
  <c r="P13" i="1" s="1"/>
  <c r="P19" i="1" s="1"/>
  <c r="P28" i="1" s="1"/>
  <c r="R13" i="1"/>
  <c r="R19" i="1" s="1"/>
  <c r="R28" i="1" s="1"/>
  <c r="F13" i="1"/>
  <c r="F18" i="1" s="1"/>
  <c r="F38" i="1" s="1"/>
  <c r="AV29" i="2"/>
  <c r="AW11" i="2"/>
  <c r="H11" i="1"/>
  <c r="H13" i="1" s="1"/>
  <c r="H18" i="1" s="1"/>
  <c r="H38" i="1" s="1"/>
  <c r="V18" i="1"/>
  <c r="V38" i="1" s="1"/>
  <c r="V19" i="1"/>
  <c r="V28" i="1" s="1"/>
  <c r="L19" i="1"/>
  <c r="L28" i="1" s="1"/>
  <c r="L18" i="1"/>
  <c r="L38" i="1" s="1"/>
  <c r="J19" i="1"/>
  <c r="J28" i="1" s="1"/>
  <c r="J18" i="1"/>
  <c r="J38" i="1" s="1"/>
  <c r="R18" i="1" l="1"/>
  <c r="R38" i="1" s="1"/>
  <c r="T19" i="1"/>
  <c r="T28" i="1" s="1"/>
  <c r="T30" i="1" s="1"/>
  <c r="P18" i="1"/>
  <c r="P38" i="1" s="1"/>
  <c r="AV32" i="2"/>
  <c r="AV37" i="2" s="1"/>
  <c r="F19" i="1"/>
  <c r="F28" i="1" s="1"/>
  <c r="F30" i="1" s="1"/>
  <c r="H19" i="1"/>
  <c r="H28" i="1" s="1"/>
  <c r="AW18" i="2"/>
  <c r="AW19" i="2" s="1"/>
  <c r="AW24" i="2"/>
  <c r="AW25" i="2" s="1"/>
  <c r="N18" i="1"/>
  <c r="N38" i="1" s="1"/>
  <c r="N30" i="1"/>
  <c r="L30" i="1"/>
  <c r="J30" i="1"/>
  <c r="V30" i="1"/>
  <c r="P30" i="1"/>
  <c r="R30" i="1"/>
  <c r="H30" i="1" l="1"/>
  <c r="AW26" i="2"/>
  <c r="AW27" i="2" s="1"/>
  <c r="AW31" i="2" s="1"/>
  <c r="AW20" i="2"/>
  <c r="AW12" i="2" s="1"/>
  <c r="AW13" i="2" s="1"/>
  <c r="N35" i="1"/>
  <c r="N36" i="1"/>
  <c r="N40" i="1" s="1"/>
  <c r="N39" i="1" s="1"/>
  <c r="N46" i="1" s="1"/>
  <c r="R35" i="1"/>
  <c r="R36" i="1"/>
  <c r="R40" i="1" s="1"/>
  <c r="R39" i="1" s="1"/>
  <c r="R46" i="1" s="1"/>
  <c r="F36" i="1"/>
  <c r="F40" i="1" s="1"/>
  <c r="F39" i="1" s="1"/>
  <c r="F46" i="1" s="1"/>
  <c r="F35" i="1"/>
  <c r="J35" i="1"/>
  <c r="J36" i="1"/>
  <c r="J40" i="1" s="1"/>
  <c r="J39" i="1" s="1"/>
  <c r="J46" i="1" s="1"/>
  <c r="H36" i="1"/>
  <c r="H40" i="1" s="1"/>
  <c r="H35" i="1"/>
  <c r="T35" i="1"/>
  <c r="T36" i="1"/>
  <c r="T40" i="1" s="1"/>
  <c r="T39" i="1" s="1"/>
  <c r="T46" i="1" s="1"/>
  <c r="P35" i="1"/>
  <c r="P36" i="1"/>
  <c r="P40" i="1" s="1"/>
  <c r="P39" i="1" s="1"/>
  <c r="P46" i="1" s="1"/>
  <c r="L36" i="1"/>
  <c r="L40" i="1" s="1"/>
  <c r="L39" i="1" s="1"/>
  <c r="L46" i="1" s="1"/>
  <c r="L35" i="1"/>
  <c r="V35" i="1"/>
  <c r="V36" i="1"/>
  <c r="V40" i="1" s="1"/>
  <c r="V39" i="1" s="1"/>
  <c r="V46" i="1" s="1"/>
  <c r="H39" i="1" l="1"/>
  <c r="H46" i="1" s="1"/>
  <c r="AW21" i="2"/>
  <c r="AW30" i="2" s="1"/>
  <c r="AX11" i="2"/>
  <c r="AW29" i="2"/>
  <c r="AW32" i="2" l="1"/>
  <c r="AW37" i="2" s="1"/>
  <c r="AX24" i="2"/>
  <c r="AX25" i="2" s="1"/>
  <c r="AX26" i="2" s="1"/>
  <c r="AX27" i="2" s="1"/>
  <c r="AX31" i="2" s="1"/>
  <c r="AX18" i="2"/>
  <c r="AX19" i="2" s="1"/>
  <c r="AX20" i="2" l="1"/>
  <c r="AX12" i="2" s="1"/>
  <c r="AX13" i="2" s="1"/>
  <c r="AX21" i="2" l="1"/>
  <c r="AX30" i="2" s="1"/>
  <c r="AY11" i="2"/>
  <c r="AX29" i="2"/>
  <c r="AX32" i="2" l="1"/>
  <c r="AX37" i="2" s="1"/>
  <c r="AY18" i="2"/>
  <c r="AY19" i="2" s="1"/>
  <c r="AY24" i="2"/>
  <c r="AY25" i="2" s="1"/>
  <c r="AY26" i="2" s="1"/>
  <c r="AY27" i="2" s="1"/>
  <c r="AY31" i="2" s="1"/>
  <c r="AY20" i="2" l="1"/>
  <c r="AY12" i="2" s="1"/>
  <c r="AY13" i="2" s="1"/>
  <c r="AY21" i="2" l="1"/>
  <c r="AY30" i="2" s="1"/>
  <c r="AY29" i="2"/>
  <c r="AZ11" i="2"/>
  <c r="AY32" i="2" l="1"/>
  <c r="AZ18" i="2"/>
  <c r="AZ19" i="2" s="1"/>
  <c r="AZ24" i="2"/>
  <c r="AZ25" i="2" s="1"/>
  <c r="AZ26" i="2" s="1"/>
  <c r="AZ27" i="2" s="1"/>
  <c r="AZ31" i="2" s="1"/>
  <c r="AY37" i="2"/>
  <c r="AZ20" i="2" l="1"/>
  <c r="AZ12" i="2" s="1"/>
  <c r="AZ13" i="2" s="1"/>
  <c r="AZ21" i="2" l="1"/>
  <c r="AZ30" i="2" s="1"/>
  <c r="AZ29" i="2"/>
  <c r="BA11" i="2"/>
  <c r="AZ32" i="2" l="1"/>
  <c r="AZ37" i="2" s="1"/>
  <c r="BA24" i="2"/>
  <c r="BA25" i="2" s="1"/>
  <c r="BA26" i="2" s="1"/>
  <c r="BA27" i="2" s="1"/>
  <c r="BA31" i="2" s="1"/>
  <c r="BA18" i="2"/>
  <c r="BA19" i="2" s="1"/>
  <c r="BA20" i="2" l="1"/>
  <c r="BA12" i="2" s="1"/>
  <c r="BA13" i="2" s="1"/>
  <c r="BA21" i="2" l="1"/>
  <c r="BA30" i="2" s="1"/>
  <c r="BB11" i="2"/>
  <c r="BA29" i="2"/>
  <c r="BA32" i="2" l="1"/>
  <c r="BA37" i="2"/>
  <c r="BB24" i="2"/>
  <c r="BB25" i="2" s="1"/>
  <c r="BB26" i="2" s="1"/>
  <c r="BB27" i="2" s="1"/>
  <c r="BB31" i="2" s="1"/>
  <c r="BB18" i="2"/>
  <c r="BB19" i="2" s="1"/>
  <c r="BB20" i="2" l="1"/>
  <c r="BB12" i="2" s="1"/>
  <c r="BB13" i="2" s="1"/>
  <c r="BC11" i="2" l="1"/>
  <c r="BB29" i="2"/>
  <c r="BB21" i="2"/>
  <c r="BB30" i="2" s="1"/>
  <c r="BB32" i="2" l="1"/>
  <c r="BC24" i="2"/>
  <c r="BC25" i="2" s="1"/>
  <c r="BC26" i="2" s="1"/>
  <c r="BC27" i="2" s="1"/>
  <c r="BC31" i="2" s="1"/>
  <c r="BC18" i="2"/>
  <c r="BC19" i="2" s="1"/>
  <c r="BC20" i="2" l="1"/>
  <c r="BC12" i="2" s="1"/>
  <c r="BC13" i="2" s="1"/>
  <c r="BB37" i="2"/>
  <c r="BC21" i="2" l="1"/>
  <c r="BC30" i="2" s="1"/>
  <c r="BC29" i="2"/>
  <c r="BD11" i="2"/>
  <c r="BC32" i="2" l="1"/>
  <c r="BC37" i="2" s="1"/>
  <c r="BD24" i="2"/>
  <c r="BD25" i="2" s="1"/>
  <c r="BD26" i="2" s="1"/>
  <c r="BD27" i="2" s="1"/>
  <c r="BD31" i="2" s="1"/>
  <c r="BD18" i="2"/>
  <c r="BD19" i="2" s="1"/>
  <c r="BD20" i="2" l="1"/>
  <c r="BD12" i="2" s="1"/>
  <c r="BD13" i="2" s="1"/>
  <c r="BD21" i="2" l="1"/>
  <c r="BD30" i="2" s="1"/>
  <c r="BE11" i="2"/>
  <c r="BD29" i="2"/>
  <c r="BD32" i="2" l="1"/>
  <c r="BD37" i="2" s="1"/>
  <c r="BE24" i="2"/>
  <c r="BE25" i="2" s="1"/>
  <c r="BE26" i="2" s="1"/>
  <c r="BE27" i="2" s="1"/>
  <c r="BE31" i="2" s="1"/>
  <c r="BE18" i="2"/>
  <c r="BE19" i="2" s="1"/>
  <c r="BE20" i="2" l="1"/>
  <c r="BE12" i="2" s="1"/>
  <c r="BE13" i="2" s="1"/>
  <c r="BE29" i="2" l="1"/>
  <c r="BF11" i="2"/>
  <c r="BE21" i="2"/>
  <c r="BE30" i="2" s="1"/>
  <c r="BE32" i="2" l="1"/>
  <c r="BE37" i="2" s="1"/>
  <c r="BF24" i="2"/>
  <c r="BF25" i="2" s="1"/>
  <c r="BF26" i="2" s="1"/>
  <c r="BF27" i="2" s="1"/>
  <c r="BF31" i="2" s="1"/>
  <c r="BF18" i="2"/>
  <c r="BF19" i="2" s="1"/>
  <c r="BF20" i="2" l="1"/>
  <c r="BF12" i="2" s="1"/>
  <c r="BF13" i="2" s="1"/>
  <c r="BF21" i="2" l="1"/>
  <c r="BF30" i="2" s="1"/>
  <c r="BF29" i="2"/>
  <c r="BG11" i="2"/>
  <c r="BG18" i="2" l="1"/>
  <c r="BG19" i="2" s="1"/>
  <c r="BG24" i="2"/>
  <c r="BG25" i="2" s="1"/>
  <c r="BF32" i="2"/>
  <c r="BF37" i="2" s="1"/>
  <c r="BG26" i="2" l="1"/>
  <c r="BG27" i="2" s="1"/>
  <c r="BG31" i="2" s="1"/>
  <c r="BG20" i="2"/>
  <c r="BG12" i="2" s="1"/>
  <c r="BG13" i="2" s="1"/>
  <c r="BG29" i="2" s="1"/>
  <c r="BG21" i="2" l="1"/>
  <c r="BG30" i="2" s="1"/>
  <c r="BG32" i="2" s="1"/>
  <c r="BG37" i="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AdelAmo</author>
  </authors>
  <commentList>
    <comment ref="E7" authorId="0" shapeId="0" xr:uid="{CDA18A87-45E7-4576-BBCD-596473C23C17}">
      <text>
        <r>
          <rPr>
            <b/>
            <sz val="9"/>
            <color indexed="81"/>
            <rFont val="Tahoma"/>
            <family val="2"/>
          </rPr>
          <t>AdelAmo:</t>
        </r>
        <r>
          <rPr>
            <sz val="9"/>
            <color indexed="81"/>
            <rFont val="Tahoma"/>
            <family val="2"/>
          </rPr>
          <t xml:space="preserve">
Goalseeked</t>
        </r>
      </text>
    </comment>
    <comment ref="J7" authorId="0" shapeId="0" xr:uid="{26E9BFFC-2445-4355-AB49-EB06CB1C1068}">
      <text>
        <r>
          <rPr>
            <b/>
            <sz val="9"/>
            <color indexed="81"/>
            <rFont val="Tahoma"/>
            <family val="2"/>
          </rPr>
          <t>AdelAmo:</t>
        </r>
        <r>
          <rPr>
            <sz val="9"/>
            <color indexed="81"/>
            <rFont val="Tahoma"/>
            <family val="2"/>
          </rPr>
          <t xml:space="preserve">
Goalseeked</t>
        </r>
      </text>
    </comment>
    <comment ref="O7" authorId="0" shapeId="0" xr:uid="{382EA84D-C6B9-4EC2-88D5-A38740EAA8A4}">
      <text>
        <r>
          <rPr>
            <b/>
            <sz val="9"/>
            <color indexed="81"/>
            <rFont val="Tahoma"/>
            <family val="2"/>
          </rPr>
          <t>AdelAmo:</t>
        </r>
        <r>
          <rPr>
            <sz val="9"/>
            <color indexed="81"/>
            <rFont val="Tahoma"/>
            <family val="2"/>
          </rPr>
          <t xml:space="preserve">
Goalseeked</t>
        </r>
      </text>
    </comment>
  </commentList>
</comments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<sst xmlns="http://schemas.openxmlformats.org/spreadsheetml/2006/main" count="254" uniqueCount="119">
  <si>
    <t>€m</t>
  </si>
  <si>
    <t>%</t>
  </si>
  <si>
    <t>Check</t>
  </si>
  <si>
    <t>Date</t>
  </si>
  <si>
    <t>Exit EV</t>
  </si>
  <si>
    <t>(-) Local Debt @ Exit</t>
  </si>
  <si>
    <t>Exit @ Dec-2024</t>
  </si>
  <si>
    <t>Exit @ Dec-2025</t>
  </si>
  <si>
    <t>Exit @ Dec-2026</t>
  </si>
  <si>
    <t>EV @ €800m</t>
  </si>
  <si>
    <t>FPNs Equity Stake</t>
  </si>
  <si>
    <t>Equity Value to FPNs</t>
  </si>
  <si>
    <t>Equity Value to NSSNs Pre-Warrants Dilution</t>
  </si>
  <si>
    <t>Exit Date</t>
  </si>
  <si>
    <t>IRR Hurdle</t>
  </si>
  <si>
    <t>Project Coin</t>
  </si>
  <si>
    <t>Comments</t>
  </si>
  <si>
    <t>Local Debt as of 31-Dec of each respective Exit Year</t>
  </si>
  <si>
    <t>A</t>
  </si>
  <si>
    <t>B</t>
  </si>
  <si>
    <t>C</t>
  </si>
  <si>
    <t>D</t>
  </si>
  <si>
    <t>E</t>
  </si>
  <si>
    <t>E = A+B+C+D</t>
  </si>
  <si>
    <t>F</t>
  </si>
  <si>
    <t>G</t>
  </si>
  <si>
    <t>H</t>
  </si>
  <si>
    <t>I</t>
  </si>
  <si>
    <t>H = E*F</t>
  </si>
  <si>
    <t>I = E*G</t>
  </si>
  <si>
    <t>Principal Value of NSSNs as per 2021 RX</t>
  </si>
  <si>
    <t>J</t>
  </si>
  <si>
    <t>K</t>
  </si>
  <si>
    <t>L</t>
  </si>
  <si>
    <t>M</t>
  </si>
  <si>
    <t>N</t>
  </si>
  <si>
    <t>O</t>
  </si>
  <si>
    <t>P</t>
  </si>
  <si>
    <t>Q</t>
  </si>
  <si>
    <t>R</t>
  </si>
  <si>
    <t>S</t>
  </si>
  <si>
    <t>T</t>
  </si>
  <si>
    <t>R = O*P</t>
  </si>
  <si>
    <t>S = O*Q</t>
  </si>
  <si>
    <t>U = I - S</t>
  </si>
  <si>
    <t>Notes:</t>
  </si>
  <si>
    <t>(+) Excess Cash EoP</t>
  </si>
  <si>
    <t>EV @ €1200m</t>
  </si>
  <si>
    <t>EV @ €1600m</t>
  </si>
  <si>
    <t>Excess Equity Value Attributable to NSSNs</t>
  </si>
  <si>
    <t>Excess Equity Value Attributable to Consenting SSNs</t>
  </si>
  <si>
    <t>Total FPNs Equity Value</t>
  </si>
  <si>
    <t>Par Value as of 1-Nov-2021</t>
  </si>
  <si>
    <t>(-) IRR Hurdle at Exit Date</t>
  </si>
  <si>
    <t>Total NSSNs Equity Value Post SSNs Warrant Dilution</t>
  </si>
  <si>
    <t>NSSNs Equity Stake (Pre-Warrants Dilution)</t>
  </si>
  <si>
    <t>NSSNs IRR Initial Threshold Date</t>
  </si>
  <si>
    <t>Days</t>
  </si>
  <si>
    <t>Year</t>
  </si>
  <si>
    <t>Period</t>
  </si>
  <si>
    <t>FPNs</t>
  </si>
  <si>
    <t>BoP</t>
  </si>
  <si>
    <t>PIK</t>
  </si>
  <si>
    <t>EoP</t>
  </si>
  <si>
    <t>Interest Flag</t>
  </si>
  <si>
    <t>PIK Interest</t>
  </si>
  <si>
    <t>PIK Interest Period</t>
  </si>
  <si>
    <t>Cumulative PIK pre Capitalization</t>
  </si>
  <si>
    <t>Capitalization</t>
  </si>
  <si>
    <t>Cumulative PIK post Capitalization</t>
  </si>
  <si>
    <t>Cash Interest</t>
  </si>
  <si>
    <t>Cash Interest Period</t>
  </si>
  <si>
    <t>Cumulative Cash pre Capitalization</t>
  </si>
  <si>
    <t>Payment</t>
  </si>
  <si>
    <t>Cumulative Cash post Capitalization</t>
  </si>
  <si>
    <t>Accrued Cash</t>
  </si>
  <si>
    <t>Accrued PIK</t>
  </si>
  <si>
    <t>Exit Fee</t>
  </si>
  <si>
    <t>Amount Outstanding w/o Exit Fee</t>
  </si>
  <si>
    <t>Amount Outstanding w/ Exit Fee</t>
  </si>
  <si>
    <t>Local Debt</t>
  </si>
  <si>
    <t>IRR</t>
  </si>
  <si>
    <t xml:space="preserve">Excess Cash Balance as of 31-Dec of each respective Exit Year </t>
  </si>
  <si>
    <t>FPNs as of 31-Dec of each respective Exit Year. Includes Accrued interest and Exit Fee</t>
  </si>
  <si>
    <r>
      <t>(-) FPNs @ Exit</t>
    </r>
    <r>
      <rPr>
        <vertAlign val="superscript"/>
        <sz val="10"/>
        <color theme="1"/>
        <rFont val="Arial"/>
        <family val="2"/>
      </rPr>
      <t>(1)</t>
    </r>
  </si>
  <si>
    <r>
      <t>Equity Value</t>
    </r>
    <r>
      <rPr>
        <b/>
        <vertAlign val="superscript"/>
        <sz val="10"/>
        <color theme="1"/>
        <rFont val="Arial"/>
        <family val="2"/>
      </rPr>
      <t>(2)</t>
    </r>
  </si>
  <si>
    <t>(2) Assumes no MIP dilution and no other Enterprise Value to Equity Value bridge adjustments other than debt and excess cash</t>
  </si>
  <si>
    <t>(1) Includes accrued but unpaid cash interest</t>
  </si>
  <si>
    <t>Excess Equity Value over 15% IRR Strike Price</t>
  </si>
  <si>
    <t>Post-Merger Split</t>
  </si>
  <si>
    <t>o/w Codere</t>
  </si>
  <si>
    <t>MergeCo</t>
  </si>
  <si>
    <t>Post-Merger FPNs Equity Stake</t>
  </si>
  <si>
    <t>Post-Merger NSSNs Equity Stake (Pre-Warrants Dilution)</t>
  </si>
  <si>
    <t>Illustrative Merger Assumptions</t>
  </si>
  <si>
    <t>Codere Share of MergeCo</t>
  </si>
  <si>
    <t>C = A+B</t>
  </si>
  <si>
    <t>F = C*D</t>
  </si>
  <si>
    <t>U</t>
  </si>
  <si>
    <t>V</t>
  </si>
  <si>
    <t>G = C*E</t>
  </si>
  <si>
    <t>U = M - V</t>
  </si>
  <si>
    <t>(-) Debt Like Items, post-merger</t>
  </si>
  <si>
    <t>Assumed constant from pre-merger</t>
  </si>
  <si>
    <t>Total Equity Value to Consenting SSNs (via FMV of warrants)</t>
  </si>
  <si>
    <t>Pre-Merger FPNs Equity Stake</t>
  </si>
  <si>
    <t>Pre-Merger NSSNs Equity Stake (Pre-Warrants Dilution)</t>
  </si>
  <si>
    <t>o/w TargetCo</t>
  </si>
  <si>
    <t xml:space="preserve">NSSNs IRR Hurdle at Exit Date </t>
  </si>
  <si>
    <t>FMV of Warrrants / Equity Value to Consenting SSNs via Warrants</t>
  </si>
  <si>
    <t>L'</t>
  </si>
  <si>
    <t>L' = L/E</t>
  </si>
  <si>
    <t>Memo: Strike Price</t>
  </si>
  <si>
    <t>N'</t>
  </si>
  <si>
    <t>N' = N/G</t>
  </si>
  <si>
    <t>Illustratively assumes a merger where Codere retains 50% of MergeCo. All debt like items from the MergeCo entity to be considered in the Enterprise Value to Equity bridge</t>
  </si>
  <si>
    <t>O = Excess of M - N</t>
  </si>
  <si>
    <t>O = Excess of I - N</t>
  </si>
  <si>
    <t>Equity value to NSSN holders (77.5%) granting 15% IRR at exit, given 19-Nov-21 entry and cash coupon payments on 31-Mar-22 and 30-Sep-22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</si>
</sst>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164" formatCode="#,##0.0_);\(#,##0.0\);\-\-_)"/>
    <numFmt numFmtId="165" formatCode="[$-409]d\-mmm\-yy;@"/>
    <numFmt numFmtId="166" formatCode="#,##0.0_);\(#,##0.0\);#,##0.0_);@_)"/>
    <numFmt numFmtId="167" formatCode="0%_);\(0%\);0%_);@_)"/>
    <numFmt numFmtId="168" formatCode="0.0%_);\(0.0%\);0.0%_);@_)"/>
    <numFmt numFmtId="169" formatCode="#,##0.0_);\(#,##0.0\);\-\-"/>
    <numFmt numFmtId="170" formatCode="#,##0.0%_);\(#,##0.0%\);\-\-_)"/>
    <numFmt numFmtId="171" formatCode="0.00%_);\(0.00%\);0.00%_);@_)"/>
    <numFmt numFmtId="172" formatCode="#,##0.0%_);\(#,##0.0%\);&quot;–&quot;_)"/>
    <numFmt numFmtId="173" formatCode="#,##0_);\(#,##0\);&quot;–&quot;_);_(@_)_%"/>
  </numFmts>
  <fonts count="26" x14ac:knownFonts="1">
    <font>
      <sz val="10"/>
      <color theme="1"/>
      <name val="Arial"/>
      <family val="2"/>
    </font>
    <font>
      <b/>
      <sz val="10"/>
      <color theme="0"/>
      <name val="Arial"/>
      <family val="2"/>
    </font>
    <font>
      <b/>
      <sz val="10"/>
      <color theme="1"/>
      <name val="Arial"/>
      <family val="2"/>
    </font>
    <font>
      <b/>
      <sz val="16"/>
      <color theme="1"/>
      <name val="Arial"/>
      <family val="2"/>
    </font>
    <font>
      <sz val="10"/>
      <color rgb="FF0000FF"/>
      <name val="Arial"/>
      <family val="2"/>
    </font>
    <font>
      <sz val="10"/>
      <color rgb="FFC00000"/>
      <name val="Arial"/>
      <family val="2"/>
    </font>
    <font>
      <sz val="10"/>
      <color theme="1"/>
      <name val="Arial"/>
      <family val="2"/>
    </font>
    <font>
      <i/>
      <sz val="14"/>
      <color theme="7"/>
      <name val="Arial"/>
      <family val="2"/>
    </font>
    <font>
      <sz val="10"/>
      <color rgb="FF525766"/>
      <name val="Arial"/>
      <family val="2"/>
    </font>
    <font>
      <b/>
      <sz val="10"/>
      <color rgb="FF525766"/>
      <name val="Arial"/>
      <family val="2"/>
    </font>
    <font>
      <b/>
      <sz val="10"/>
      <color rgb="FFC00000"/>
      <name val="Arial"/>
      <family val="2"/>
    </font>
    <font>
      <b/>
      <sz val="10"/>
      <color rgb="FF0000FF"/>
      <name val="Arial"/>
      <family val="2"/>
    </font>
    <font>
      <b/>
      <vertAlign val="superscript"/>
      <sz val="10"/>
      <color theme="1"/>
      <name val="Arial"/>
      <family val="2"/>
    </font>
    <font>
      <b/>
      <sz val="10"/>
      <color theme="1"/>
      <name val="Segoe UI"/>
      <family val="2"/>
    </font>
    <font>
      <b/>
      <sz val="10"/>
      <color rgb="FF0000FF"/>
      <name val="Segoe UI"/>
      <family val="2"/>
    </font>
    <font>
      <sz val="10"/>
      <color rgb="FF0000FF"/>
      <name val="Segoe UI"/>
      <family val="2"/>
    </font>
    <font>
      <sz val="10"/>
      <color rgb="FF00B05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vertAlign val="superscript"/>
      <sz val="10"/>
      <color theme="1"/>
      <name val="Arial"/>
      <family val="2"/>
    </font>
    <font>
      <sz val="10"/>
      <color rgb="FF000000"/>
      <name val="Arial"/>
      <family val="2"/>
    </font>
    <font>
      <i/>
      <sz val="10"/>
      <color theme="1"/>
      <name val="Arial"/>
      <family val="2"/>
    </font>
    <font>
      <i/>
      <sz val="10"/>
      <color rgb="FF0000FF"/>
      <name val="Arial"/>
      <family val="2"/>
    </font>
    <font>
      <i/>
      <sz val="10"/>
      <color rgb="FFC00000"/>
      <name val="Arial"/>
      <family val="2"/>
    </font>
    <font>
      <i/>
      <sz val="10"/>
      <color rgb="FF000000"/>
      <name val="Arial"/>
      <family val="2"/>
    </font>
    <font>
      <i/>
      <sz val="10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1" tint="0.399975585192419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5"/>
        <bgColor indexed="64"/>
      </patternFill>
    </fill>
    <fill>
      <patternFill patternType="lightUp"/>
    </fill>
    <fill>
      <patternFill patternType="solid">
        <fgColor rgb="FFFFFFCC"/>
      </patternFill>
    </fill>
    <fill>
      <patternFill patternType="solid">
        <fgColor theme="2" tint="0.79998168889431442"/>
        <bgColor indexed="64"/>
      </patternFill>
    </fill>
  </fills>
  <borders count="33">
    <border>
      <left/>
      <right/>
      <top/>
      <bottom/>
      <diagonal/>
    </border>
    <border>
      <left/>
      <right/>
      <top/>
      <bottom style="medium">
        <color theme="2"/>
      </bottom>
      <diagonal/>
    </border>
    <border>
      <left/>
      <right/>
      <top style="thin">
        <color auto="1"/>
      </top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/>
      <bottom/>
      <diagonal/>
    </border>
    <border>
      <left/>
      <right style="medium">
        <color theme="0"/>
      </right>
      <top/>
      <bottom/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/>
      <diagonal/>
    </border>
    <border>
      <left/>
      <right/>
      <top style="medium">
        <color theme="0"/>
      </top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/>
      <diagonal/>
    </border>
    <border>
      <left style="dashed">
        <color theme="7"/>
      </left>
      <right/>
      <top style="dashed">
        <color theme="7"/>
      </top>
      <bottom/>
      <diagonal/>
    </border>
    <border>
      <left/>
      <right/>
      <top style="dashed">
        <color theme="7"/>
      </top>
      <bottom/>
      <diagonal/>
    </border>
    <border>
      <left/>
      <right style="dashed">
        <color theme="7"/>
      </right>
      <top style="dashed">
        <color theme="7"/>
      </top>
      <bottom/>
      <diagonal/>
    </border>
    <border>
      <left style="dashed">
        <color theme="7"/>
      </left>
      <right/>
      <top/>
      <bottom/>
      <diagonal/>
    </border>
    <border>
      <left/>
      <right style="dashed">
        <color theme="7"/>
      </right>
      <top/>
      <bottom/>
      <diagonal/>
    </border>
    <border>
      <left style="dashed">
        <color theme="7"/>
      </left>
      <right/>
      <top style="dashed">
        <color theme="7"/>
      </top>
      <bottom style="dashed">
        <color theme="7"/>
      </bottom>
      <diagonal/>
    </border>
    <border>
      <left/>
      <right/>
      <top style="dashed">
        <color theme="7"/>
      </top>
      <bottom style="dashed">
        <color theme="7"/>
      </bottom>
      <diagonal/>
    </border>
    <border>
      <left/>
      <right style="dashed">
        <color theme="7"/>
      </right>
      <top style="dashed">
        <color theme="7"/>
      </top>
      <bottom style="dashed">
        <color theme="7"/>
      </bottom>
      <diagonal/>
    </border>
    <border>
      <left style="dashed">
        <color theme="2"/>
      </left>
      <right/>
      <top style="dashed">
        <color theme="2"/>
      </top>
      <bottom/>
      <diagonal/>
    </border>
    <border>
      <left/>
      <right/>
      <top style="dashed">
        <color theme="2"/>
      </top>
      <bottom/>
      <diagonal/>
    </border>
    <border>
      <left/>
      <right style="dashed">
        <color theme="2"/>
      </right>
      <top style="dashed">
        <color theme="2"/>
      </top>
      <bottom/>
      <diagonal/>
    </border>
    <border>
      <left style="dashed">
        <color theme="2"/>
      </left>
      <right/>
      <top/>
      <bottom/>
      <diagonal/>
    </border>
    <border>
      <left/>
      <right style="dashed">
        <color theme="2"/>
      </right>
      <top/>
      <bottom/>
      <diagonal/>
    </border>
    <border>
      <left style="dashed">
        <color theme="2"/>
      </left>
      <right/>
      <top/>
      <bottom style="dashed">
        <color theme="2"/>
      </bottom>
      <diagonal/>
    </border>
    <border>
      <left/>
      <right/>
      <top/>
      <bottom style="dashed">
        <color theme="2"/>
      </bottom>
      <diagonal/>
    </border>
    <border>
      <left/>
      <right style="dashed">
        <color theme="2"/>
      </right>
      <top/>
      <bottom style="dashed">
        <color theme="2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hair">
        <color theme="2"/>
      </left>
      <right/>
      <top style="hair">
        <color theme="2"/>
      </top>
      <bottom style="hair">
        <color theme="2"/>
      </bottom>
      <diagonal/>
    </border>
    <border>
      <left/>
      <right/>
      <top style="hair">
        <color theme="2"/>
      </top>
      <bottom style="hair">
        <color theme="2"/>
      </bottom>
      <diagonal/>
    </border>
    <border>
      <left/>
      <right style="hair">
        <color theme="2"/>
      </right>
      <top style="hair">
        <color theme="2"/>
      </top>
      <bottom style="hair">
        <color theme="2"/>
      </bottom>
      <diagonal/>
    </border>
    <border>
      <left/>
      <right/>
      <top style="thin">
        <color theme="2"/>
      </top>
      <bottom style="thin">
        <color theme="2"/>
      </bottom>
      <diagonal/>
    </border>
  </borders>
  <cellStyleXfs count="5">
    <xf numFmtId="0" fontId="0" fillId="0" borderId="0"/>
    <xf numFmtId="9" fontId="6" fillId="0" borderId="0" applyFont="0" applyFill="0" applyBorder="0" applyAlignment="0" applyProtection="0"/>
    <xf numFmtId="0" fontId="6" fillId="0" borderId="0">
      <alignment vertical="center"/>
    </xf>
    <xf numFmtId="164" fontId="6" fillId="0" borderId="0">
      <alignment horizontal="right" vertical="center"/>
    </xf>
    <xf numFmtId="0" fontId="6" fillId="11" borderId="28" applyNumberFormat="0" applyFont="0" applyAlignment="0" applyProtection="0"/>
  </cellStyleXfs>
  <cellXfs count="156">
    <xf numFmtId="0" fontId="0" fillId="0" borderId="0" xfId="0"/>
    <xf numFmtId="9" fontId="3" fillId="0" borderId="1" xfId="1" applyFont="1" applyBorder="1" applyAlignment="1">
      <alignment vertical="center"/>
    </xf>
    <xf numFmtId="164" fontId="6" fillId="0" borderId="1" xfId="3" applyBorder="1" applyAlignment="1">
      <alignment horizontal="left" vertical="center"/>
    </xf>
    <xf numFmtId="164" fontId="6" fillId="0" borderId="1" xfId="3" applyBorder="1">
      <alignment horizontal="right" vertical="center"/>
    </xf>
    <xf numFmtId="164" fontId="6" fillId="0" borderId="0" xfId="3">
      <alignment horizontal="right" vertical="center"/>
    </xf>
    <xf numFmtId="164" fontId="6" fillId="0" borderId="0" xfId="3" applyAlignment="1">
      <alignment horizontal="left" vertical="center"/>
    </xf>
    <xf numFmtId="0" fontId="6" fillId="0" borderId="0" xfId="2">
      <alignment vertical="center"/>
    </xf>
    <xf numFmtId="164" fontId="6" fillId="0" borderId="0" xfId="2" applyNumberFormat="1">
      <alignment vertical="center"/>
    </xf>
    <xf numFmtId="0" fontId="7" fillId="0" borderId="0" xfId="2" applyFont="1">
      <alignment vertical="center"/>
    </xf>
    <xf numFmtId="164" fontId="1" fillId="0" borderId="5" xfId="3" applyFont="1" applyBorder="1">
      <alignment horizontal="right" vertical="center"/>
    </xf>
    <xf numFmtId="164" fontId="1" fillId="2" borderId="6" xfId="3" applyFont="1" applyFill="1" applyBorder="1" applyAlignment="1">
      <alignment horizontal="centerContinuous" vertical="center"/>
    </xf>
    <xf numFmtId="164" fontId="1" fillId="4" borderId="3" xfId="3" applyFont="1" applyFill="1" applyBorder="1" applyAlignment="1">
      <alignment horizontal="center" vertical="center"/>
    </xf>
    <xf numFmtId="164" fontId="1" fillId="5" borderId="3" xfId="3" applyFont="1" applyFill="1" applyBorder="1" applyAlignment="1">
      <alignment horizontal="center" vertical="center"/>
    </xf>
    <xf numFmtId="164" fontId="1" fillId="6" borderId="3" xfId="3" applyFont="1" applyFill="1" applyBorder="1" applyAlignment="1">
      <alignment horizontal="center" vertical="center"/>
    </xf>
    <xf numFmtId="164" fontId="2" fillId="0" borderId="4" xfId="3" applyFont="1" applyBorder="1" applyAlignment="1">
      <alignment horizontal="center" vertical="center"/>
    </xf>
    <xf numFmtId="164" fontId="2" fillId="0" borderId="8" xfId="3" applyFont="1" applyBorder="1" applyAlignment="1">
      <alignment horizontal="left" vertical="center"/>
    </xf>
    <xf numFmtId="164" fontId="0" fillId="0" borderId="8" xfId="3" applyFont="1" applyBorder="1" applyAlignment="1">
      <alignment horizontal="center" vertical="center"/>
    </xf>
    <xf numFmtId="166" fontId="4" fillId="3" borderId="7" xfId="3" applyNumberFormat="1" applyFont="1" applyFill="1" applyBorder="1" applyAlignment="1">
      <alignment horizontal="center" vertical="center"/>
    </xf>
    <xf numFmtId="166" fontId="6" fillId="0" borderId="8" xfId="3" applyNumberFormat="1" applyBorder="1">
      <alignment horizontal="right" vertical="center"/>
    </xf>
    <xf numFmtId="166" fontId="4" fillId="0" borderId="9" xfId="3" applyNumberFormat="1" applyFont="1" applyBorder="1" applyAlignment="1">
      <alignment horizontal="center" vertical="center"/>
    </xf>
    <xf numFmtId="166" fontId="5" fillId="0" borderId="8" xfId="2" applyNumberFormat="1" applyFont="1" applyBorder="1" applyAlignment="1">
      <alignment horizontal="left" vertical="center"/>
    </xf>
    <xf numFmtId="164" fontId="0" fillId="0" borderId="0" xfId="3" applyFont="1" applyAlignment="1">
      <alignment horizontal="left" vertical="center"/>
    </xf>
    <xf numFmtId="164" fontId="6" fillId="0" borderId="0" xfId="3" applyAlignment="1">
      <alignment horizontal="center" vertical="center"/>
    </xf>
    <xf numFmtId="165" fontId="4" fillId="0" borderId="0" xfId="3" applyNumberFormat="1" applyFont="1" applyAlignment="1">
      <alignment horizontal="center" vertical="center"/>
    </xf>
    <xf numFmtId="164" fontId="4" fillId="0" borderId="0" xfId="3" applyFont="1" applyAlignment="1">
      <alignment horizontal="center" vertical="center"/>
    </xf>
    <xf numFmtId="164" fontId="5" fillId="0" borderId="0" xfId="2" applyNumberFormat="1" applyFont="1" applyAlignment="1">
      <alignment horizontal="left" vertical="center"/>
    </xf>
    <xf numFmtId="166" fontId="4" fillId="0" borderId="0" xfId="3" applyNumberFormat="1" applyFont="1" applyAlignment="1">
      <alignment horizontal="center" vertical="center"/>
    </xf>
    <xf numFmtId="166" fontId="8" fillId="0" borderId="0" xfId="3" applyNumberFormat="1" applyFont="1" applyAlignment="1">
      <alignment horizontal="center" vertical="center"/>
    </xf>
    <xf numFmtId="167" fontId="4" fillId="0" borderId="0" xfId="3" applyNumberFormat="1" applyFont="1" applyAlignment="1">
      <alignment horizontal="center" vertical="center"/>
    </xf>
    <xf numFmtId="168" fontId="4" fillId="0" borderId="0" xfId="3" applyNumberFormat="1" applyFont="1" applyAlignment="1">
      <alignment horizontal="center" vertical="center"/>
    </xf>
    <xf numFmtId="164" fontId="6" fillId="0" borderId="8" xfId="3" applyBorder="1" applyAlignment="1">
      <alignment horizontal="center" vertical="center"/>
    </xf>
    <xf numFmtId="166" fontId="6" fillId="0" borderId="0" xfId="3" applyNumberFormat="1">
      <alignment horizontal="right" vertical="center"/>
    </xf>
    <xf numFmtId="166" fontId="5" fillId="0" borderId="0" xfId="2" applyNumberFormat="1" applyFont="1" applyAlignment="1">
      <alignment horizontal="left" vertical="center"/>
    </xf>
    <xf numFmtId="164" fontId="2" fillId="0" borderId="2" xfId="3" applyFont="1" applyBorder="1" applyAlignment="1">
      <alignment horizontal="left" vertical="center"/>
    </xf>
    <xf numFmtId="164" fontId="2" fillId="0" borderId="2" xfId="3" applyFont="1" applyBorder="1" applyAlignment="1">
      <alignment horizontal="center" vertical="center"/>
    </xf>
    <xf numFmtId="166" fontId="9" fillId="0" borderId="2" xfId="3" applyNumberFormat="1" applyFont="1" applyBorder="1" applyAlignment="1">
      <alignment horizontal="center" vertical="center"/>
    </xf>
    <xf numFmtId="166" fontId="9" fillId="0" borderId="0" xfId="3" applyNumberFormat="1" applyFont="1" applyAlignment="1">
      <alignment horizontal="center" vertical="center"/>
    </xf>
    <xf numFmtId="166" fontId="10" fillId="0" borderId="0" xfId="2" applyNumberFormat="1" applyFont="1" applyAlignment="1">
      <alignment horizontal="left" vertical="center"/>
    </xf>
    <xf numFmtId="166" fontId="2" fillId="0" borderId="0" xfId="3" applyNumberFormat="1" applyFont="1">
      <alignment horizontal="right" vertical="center"/>
    </xf>
    <xf numFmtId="164" fontId="0" fillId="0" borderId="0" xfId="3" applyFont="1" applyAlignment="1">
      <alignment horizontal="center" vertical="center"/>
    </xf>
    <xf numFmtId="167" fontId="8" fillId="0" borderId="0" xfId="3" applyNumberFormat="1" applyFont="1" applyAlignment="1">
      <alignment horizontal="center" vertical="center"/>
    </xf>
    <xf numFmtId="168" fontId="8" fillId="0" borderId="0" xfId="3" applyNumberFormat="1" applyFont="1" applyAlignment="1">
      <alignment horizontal="center" vertical="center"/>
    </xf>
    <xf numFmtId="164" fontId="0" fillId="7" borderId="10" xfId="3" applyFont="1" applyFill="1" applyBorder="1" applyAlignment="1">
      <alignment horizontal="left" vertical="center"/>
    </xf>
    <xf numFmtId="164" fontId="0" fillId="7" borderId="11" xfId="3" applyFont="1" applyFill="1" applyBorder="1" applyAlignment="1">
      <alignment horizontal="center" vertical="center"/>
    </xf>
    <xf numFmtId="164" fontId="0" fillId="7" borderId="13" xfId="3" applyFont="1" applyFill="1" applyBorder="1" applyAlignment="1">
      <alignment horizontal="left" vertical="center"/>
    </xf>
    <xf numFmtId="164" fontId="0" fillId="7" borderId="0" xfId="3" applyFont="1" applyFill="1" applyAlignment="1">
      <alignment horizontal="center" vertical="center"/>
    </xf>
    <xf numFmtId="164" fontId="2" fillId="7" borderId="15" xfId="3" applyFont="1" applyFill="1" applyBorder="1" applyAlignment="1">
      <alignment horizontal="left" vertical="center"/>
    </xf>
    <xf numFmtId="164" fontId="2" fillId="7" borderId="16" xfId="3" applyFont="1" applyFill="1" applyBorder="1" applyAlignment="1">
      <alignment horizontal="center" vertical="center"/>
    </xf>
    <xf numFmtId="164" fontId="5" fillId="0" borderId="0" xfId="3" applyFont="1" applyAlignment="1">
      <alignment horizontal="left" vertical="center"/>
    </xf>
    <xf numFmtId="164" fontId="5" fillId="0" borderId="0" xfId="3" applyFont="1" applyAlignment="1">
      <alignment horizontal="center" vertical="center"/>
    </xf>
    <xf numFmtId="169" fontId="5" fillId="0" borderId="0" xfId="3" applyNumberFormat="1" applyFont="1" applyAlignment="1">
      <alignment horizontal="center" vertical="center"/>
    </xf>
    <xf numFmtId="169" fontId="8" fillId="7" borderId="11" xfId="3" applyNumberFormat="1" applyFont="1" applyFill="1" applyBorder="1" applyAlignment="1">
      <alignment horizontal="center" vertical="center"/>
    </xf>
    <xf numFmtId="169" fontId="6" fillId="7" borderId="11" xfId="3" applyNumberFormat="1" applyFill="1" applyBorder="1">
      <alignment horizontal="right" vertical="center"/>
    </xf>
    <xf numFmtId="169" fontId="4" fillId="7" borderId="11" xfId="3" applyNumberFormat="1" applyFont="1" applyFill="1" applyBorder="1" applyAlignment="1">
      <alignment horizontal="center" vertical="center"/>
    </xf>
    <xf numFmtId="169" fontId="5" fillId="7" borderId="11" xfId="2" applyNumberFormat="1" applyFont="1" applyFill="1" applyBorder="1" applyAlignment="1">
      <alignment horizontal="left" vertical="center"/>
    </xf>
    <xf numFmtId="169" fontId="8" fillId="7" borderId="12" xfId="3" applyNumberFormat="1" applyFont="1" applyFill="1" applyBorder="1" applyAlignment="1">
      <alignment horizontal="center" vertical="center"/>
    </xf>
    <xf numFmtId="169" fontId="8" fillId="7" borderId="0" xfId="3" applyNumberFormat="1" applyFont="1" applyFill="1" applyAlignment="1">
      <alignment horizontal="center" vertical="center"/>
    </xf>
    <xf numFmtId="169" fontId="6" fillId="7" borderId="0" xfId="3" applyNumberFormat="1" applyFill="1">
      <alignment horizontal="right" vertical="center"/>
    </xf>
    <xf numFmtId="169" fontId="4" fillId="7" borderId="0" xfId="3" applyNumberFormat="1" applyFont="1" applyFill="1" applyAlignment="1">
      <alignment horizontal="center" vertical="center"/>
    </xf>
    <xf numFmtId="169" fontId="5" fillId="7" borderId="0" xfId="2" applyNumberFormat="1" applyFont="1" applyFill="1" applyAlignment="1">
      <alignment horizontal="left" vertical="center"/>
    </xf>
    <xf numFmtId="169" fontId="8" fillId="7" borderId="14" xfId="3" applyNumberFormat="1" applyFont="1" applyFill="1" applyBorder="1" applyAlignment="1">
      <alignment horizontal="center" vertical="center"/>
    </xf>
    <xf numFmtId="169" fontId="9" fillId="7" borderId="16" xfId="3" applyNumberFormat="1" applyFont="1" applyFill="1" applyBorder="1" applyAlignment="1">
      <alignment horizontal="center" vertical="center"/>
    </xf>
    <xf numFmtId="169" fontId="2" fillId="7" borderId="16" xfId="3" applyNumberFormat="1" applyFont="1" applyFill="1" applyBorder="1">
      <alignment horizontal="right" vertical="center"/>
    </xf>
    <xf numFmtId="169" fontId="10" fillId="7" borderId="16" xfId="2" applyNumberFormat="1" applyFont="1" applyFill="1" applyBorder="1" applyAlignment="1">
      <alignment horizontal="left" vertical="center"/>
    </xf>
    <xf numFmtId="169" fontId="9" fillId="7" borderId="17" xfId="3" applyNumberFormat="1" applyFont="1" applyFill="1" applyBorder="1" applyAlignment="1">
      <alignment horizontal="center" vertical="center"/>
    </xf>
    <xf numFmtId="169" fontId="8" fillId="0" borderId="0" xfId="3" applyNumberFormat="1" applyFont="1" applyAlignment="1">
      <alignment horizontal="center" vertical="center"/>
    </xf>
    <xf numFmtId="169" fontId="6" fillId="0" borderId="0" xfId="3" applyNumberFormat="1">
      <alignment horizontal="right" vertical="center"/>
    </xf>
    <xf numFmtId="169" fontId="4" fillId="0" borderId="0" xfId="3" applyNumberFormat="1" applyFont="1" applyAlignment="1">
      <alignment horizontal="center" vertical="center"/>
    </xf>
    <xf numFmtId="169" fontId="5" fillId="0" borderId="0" xfId="2" applyNumberFormat="1" applyFont="1" applyAlignment="1">
      <alignment horizontal="left" vertical="center"/>
    </xf>
    <xf numFmtId="164" fontId="2" fillId="8" borderId="18" xfId="3" applyFont="1" applyFill="1" applyBorder="1" applyAlignment="1">
      <alignment horizontal="left" vertical="center"/>
    </xf>
    <xf numFmtId="164" fontId="2" fillId="8" borderId="19" xfId="3" applyFont="1" applyFill="1" applyBorder="1" applyAlignment="1">
      <alignment horizontal="center" vertical="center"/>
    </xf>
    <xf numFmtId="169" fontId="9" fillId="8" borderId="19" xfId="3" applyNumberFormat="1" applyFont="1" applyFill="1" applyBorder="1" applyAlignment="1">
      <alignment horizontal="center" vertical="center"/>
    </xf>
    <xf numFmtId="169" fontId="2" fillId="8" borderId="19" xfId="3" applyNumberFormat="1" applyFont="1" applyFill="1" applyBorder="1">
      <alignment horizontal="right" vertical="center"/>
    </xf>
    <xf numFmtId="169" fontId="11" fillId="8" borderId="19" xfId="3" applyNumberFormat="1" applyFont="1" applyFill="1" applyBorder="1" applyAlignment="1">
      <alignment horizontal="center" vertical="center"/>
    </xf>
    <xf numFmtId="169" fontId="10" fillId="8" borderId="19" xfId="2" applyNumberFormat="1" applyFont="1" applyFill="1" applyBorder="1" applyAlignment="1">
      <alignment horizontal="left" vertical="center"/>
    </xf>
    <xf numFmtId="169" fontId="9" fillId="8" borderId="20" xfId="3" applyNumberFormat="1" applyFont="1" applyFill="1" applyBorder="1" applyAlignment="1">
      <alignment horizontal="center" vertical="center"/>
    </xf>
    <xf numFmtId="164" fontId="2" fillId="8" borderId="21" xfId="3" applyFont="1" applyFill="1" applyBorder="1" applyAlignment="1">
      <alignment horizontal="left" vertical="center"/>
    </xf>
    <xf numFmtId="164" fontId="2" fillId="8" borderId="0" xfId="3" applyFont="1" applyFill="1" applyAlignment="1">
      <alignment horizontal="center" vertical="center"/>
    </xf>
    <xf numFmtId="169" fontId="9" fillId="8" borderId="0" xfId="3" applyNumberFormat="1" applyFont="1" applyFill="1" applyAlignment="1">
      <alignment horizontal="center" vertical="center"/>
    </xf>
    <xf numFmtId="169" fontId="2" fillId="8" borderId="0" xfId="3" applyNumberFormat="1" applyFont="1" applyFill="1">
      <alignment horizontal="right" vertical="center"/>
    </xf>
    <xf numFmtId="169" fontId="11" fillId="8" borderId="0" xfId="3" applyNumberFormat="1" applyFont="1" applyFill="1" applyAlignment="1">
      <alignment horizontal="center" vertical="center"/>
    </xf>
    <xf numFmtId="169" fontId="10" fillId="8" borderId="0" xfId="2" applyNumberFormat="1" applyFont="1" applyFill="1" applyAlignment="1">
      <alignment horizontal="left" vertical="center"/>
    </xf>
    <xf numFmtId="169" fontId="9" fillId="8" borderId="22" xfId="3" applyNumberFormat="1" applyFont="1" applyFill="1" applyBorder="1" applyAlignment="1">
      <alignment horizontal="center" vertical="center"/>
    </xf>
    <xf numFmtId="164" fontId="2" fillId="8" borderId="23" xfId="3" applyFont="1" applyFill="1" applyBorder="1" applyAlignment="1">
      <alignment horizontal="left" vertical="center"/>
    </xf>
    <xf numFmtId="164" fontId="2" fillId="8" borderId="24" xfId="3" applyFont="1" applyFill="1" applyBorder="1" applyAlignment="1">
      <alignment horizontal="center" vertical="center"/>
    </xf>
    <xf numFmtId="169" fontId="9" fillId="8" borderId="24" xfId="3" applyNumberFormat="1" applyFont="1" applyFill="1" applyBorder="1" applyAlignment="1">
      <alignment horizontal="center" vertical="center"/>
    </xf>
    <xf numFmtId="169" fontId="2" fillId="8" borderId="24" xfId="3" applyNumberFormat="1" applyFont="1" applyFill="1" applyBorder="1">
      <alignment horizontal="right" vertical="center"/>
    </xf>
    <xf numFmtId="169" fontId="11" fillId="8" borderId="24" xfId="3" applyNumberFormat="1" applyFont="1" applyFill="1" applyBorder="1" applyAlignment="1">
      <alignment horizontal="center" vertical="center"/>
    </xf>
    <xf numFmtId="169" fontId="10" fillId="8" borderId="24" xfId="2" applyNumberFormat="1" applyFont="1" applyFill="1" applyBorder="1" applyAlignment="1">
      <alignment horizontal="left" vertical="center"/>
    </xf>
    <xf numFmtId="169" fontId="9" fillId="8" borderId="25" xfId="3" applyNumberFormat="1" applyFont="1" applyFill="1" applyBorder="1" applyAlignment="1">
      <alignment horizontal="center" vertical="center"/>
    </xf>
    <xf numFmtId="164" fontId="2" fillId="9" borderId="0" xfId="3" applyFont="1" applyFill="1" applyAlignment="1">
      <alignment horizontal="center" vertical="center"/>
    </xf>
    <xf numFmtId="164" fontId="2" fillId="0" borderId="0" xfId="2" applyNumberFormat="1" applyFont="1" applyAlignment="1">
      <alignment horizontal="center" vertical="center"/>
    </xf>
    <xf numFmtId="164" fontId="0" fillId="0" borderId="0" xfId="2" applyNumberFormat="1" applyFont="1" applyAlignment="1">
      <alignment horizontal="center" vertical="center"/>
    </xf>
    <xf numFmtId="164" fontId="6" fillId="0" borderId="0" xfId="2" applyNumberFormat="1" applyAlignment="1">
      <alignment horizontal="center" vertical="center"/>
    </xf>
    <xf numFmtId="164" fontId="0" fillId="0" borderId="0" xfId="3" quotePrefix="1" applyFont="1" applyAlignment="1">
      <alignment horizontal="left" vertical="center"/>
    </xf>
    <xf numFmtId="15" fontId="4" fillId="0" borderId="0" xfId="3" applyNumberFormat="1" applyFont="1" applyAlignment="1">
      <alignment horizontal="center" vertical="center"/>
    </xf>
    <xf numFmtId="15" fontId="6" fillId="0" borderId="0" xfId="3" applyNumberFormat="1">
      <alignment horizontal="right" vertical="center"/>
    </xf>
    <xf numFmtId="15" fontId="8" fillId="0" borderId="0" xfId="3" applyNumberFormat="1" applyFont="1" applyAlignment="1">
      <alignment horizontal="center" vertical="center"/>
    </xf>
    <xf numFmtId="15" fontId="5" fillId="0" borderId="0" xfId="2" applyNumberFormat="1" applyFont="1" applyAlignment="1">
      <alignment horizontal="left" vertical="center"/>
    </xf>
    <xf numFmtId="15" fontId="13" fillId="0" borderId="0" xfId="3" applyNumberFormat="1" applyFont="1">
      <alignment horizontal="right" vertical="center"/>
    </xf>
    <xf numFmtId="15" fontId="14" fillId="0" borderId="0" xfId="3" applyNumberFormat="1" applyFont="1">
      <alignment horizontal="right" vertical="center"/>
    </xf>
    <xf numFmtId="164" fontId="6" fillId="10" borderId="0" xfId="3" applyFill="1">
      <alignment horizontal="right" vertical="center"/>
    </xf>
    <xf numFmtId="170" fontId="6" fillId="0" borderId="0" xfId="3" applyNumberFormat="1">
      <alignment horizontal="right" vertical="center"/>
    </xf>
    <xf numFmtId="164" fontId="1" fillId="2" borderId="0" xfId="3" applyFont="1" applyFill="1" applyAlignment="1">
      <alignment horizontal="left" vertical="center"/>
    </xf>
    <xf numFmtId="164" fontId="1" fillId="2" borderId="0" xfId="3" applyFont="1" applyFill="1">
      <alignment horizontal="right" vertical="center"/>
    </xf>
    <xf numFmtId="164" fontId="6" fillId="0" borderId="26" xfId="3" applyBorder="1" applyAlignment="1">
      <alignment horizontal="left" vertical="center"/>
    </xf>
    <xf numFmtId="164" fontId="6" fillId="0" borderId="26" xfId="3" applyBorder="1">
      <alignment horizontal="right" vertical="center"/>
    </xf>
    <xf numFmtId="164" fontId="2" fillId="10" borderId="0" xfId="3" applyFont="1" applyFill="1">
      <alignment horizontal="right" vertical="center"/>
    </xf>
    <xf numFmtId="164" fontId="2" fillId="10" borderId="26" xfId="3" applyFont="1" applyFill="1" applyBorder="1">
      <alignment horizontal="right" vertical="center"/>
    </xf>
    <xf numFmtId="164" fontId="4" fillId="0" borderId="27" xfId="3" applyFont="1" applyBorder="1">
      <alignment horizontal="right" vertical="center"/>
    </xf>
    <xf numFmtId="166" fontId="16" fillId="0" borderId="0" xfId="3" applyNumberFormat="1" applyFont="1" applyAlignment="1">
      <alignment horizontal="center" vertical="center"/>
    </xf>
    <xf numFmtId="164" fontId="4" fillId="0" borderId="0" xfId="3" applyFont="1">
      <alignment horizontal="right" vertical="center"/>
    </xf>
    <xf numFmtId="0" fontId="0" fillId="0" borderId="0" xfId="0" applyAlignment="1">
      <alignment horizontal="center"/>
    </xf>
    <xf numFmtId="166" fontId="0" fillId="0" borderId="0" xfId="0" applyNumberFormat="1" applyAlignment="1">
      <alignment horizontal="center"/>
    </xf>
    <xf numFmtId="0" fontId="2" fillId="7" borderId="15" xfId="0" applyFont="1" applyFill="1" applyBorder="1" applyAlignment="1">
      <alignment horizontal="center"/>
    </xf>
    <xf numFmtId="15" fontId="16" fillId="0" borderId="0" xfId="3" applyNumberFormat="1" applyFont="1" applyAlignment="1">
      <alignment horizontal="center" vertical="center"/>
    </xf>
    <xf numFmtId="171" fontId="2" fillId="7" borderId="17" xfId="0" applyNumberFormat="1" applyFont="1" applyFill="1" applyBorder="1" applyAlignment="1">
      <alignment horizontal="center"/>
    </xf>
    <xf numFmtId="15" fontId="15" fillId="0" borderId="27" xfId="3" applyNumberFormat="1" applyFont="1" applyBorder="1">
      <alignment horizontal="right" vertical="center"/>
    </xf>
    <xf numFmtId="170" fontId="4" fillId="0" borderId="27" xfId="3" applyNumberFormat="1" applyFont="1" applyBorder="1">
      <alignment horizontal="right" vertical="center"/>
    </xf>
    <xf numFmtId="164" fontId="6" fillId="0" borderId="0" xfId="3" applyAlignment="1">
      <alignment vertical="center"/>
    </xf>
    <xf numFmtId="164" fontId="6" fillId="0" borderId="0" xfId="3" applyAlignment="1">
      <alignment horizontal="left" vertical="center" indent="1"/>
    </xf>
    <xf numFmtId="172" fontId="4" fillId="11" borderId="28" xfId="4" applyNumberFormat="1" applyFont="1" applyAlignment="1">
      <alignment horizontal="right" vertical="center"/>
    </xf>
    <xf numFmtId="172" fontId="6" fillId="0" borderId="0" xfId="3" applyNumberFormat="1" applyAlignment="1">
      <alignment horizontal="right" vertical="center"/>
    </xf>
    <xf numFmtId="164" fontId="6" fillId="0" borderId="0" xfId="3" applyAlignment="1">
      <alignment horizontal="left" vertical="center" indent="2"/>
    </xf>
    <xf numFmtId="172" fontId="6" fillId="0" borderId="2" xfId="3" applyNumberFormat="1" applyBorder="1" applyAlignment="1">
      <alignment horizontal="right" vertical="center"/>
    </xf>
    <xf numFmtId="168" fontId="20" fillId="0" borderId="0" xfId="3" applyNumberFormat="1" applyFont="1" applyAlignment="1">
      <alignment horizontal="center" vertical="center"/>
    </xf>
    <xf numFmtId="164" fontId="0" fillId="12" borderId="29" xfId="3" applyFont="1" applyFill="1" applyBorder="1" applyAlignment="1">
      <alignment horizontal="left" vertical="center"/>
    </xf>
    <xf numFmtId="164" fontId="0" fillId="12" borderId="30" xfId="3" applyFont="1" applyFill="1" applyBorder="1" applyAlignment="1">
      <alignment horizontal="center" vertical="center"/>
    </xf>
    <xf numFmtId="169" fontId="8" fillId="12" borderId="30" xfId="3" applyNumberFormat="1" applyFont="1" applyFill="1" applyBorder="1" applyAlignment="1">
      <alignment horizontal="center" vertical="center"/>
    </xf>
    <xf numFmtId="169" fontId="6" fillId="12" borderId="30" xfId="3" applyNumberFormat="1" applyFill="1" applyBorder="1">
      <alignment horizontal="right" vertical="center"/>
    </xf>
    <xf numFmtId="169" fontId="4" fillId="12" borderId="30" xfId="3" applyNumberFormat="1" applyFont="1" applyFill="1" applyBorder="1" applyAlignment="1">
      <alignment horizontal="center" vertical="center"/>
    </xf>
    <xf numFmtId="169" fontId="5" fillId="12" borderId="30" xfId="2" applyNumberFormat="1" applyFont="1" applyFill="1" applyBorder="1" applyAlignment="1">
      <alignment horizontal="left" vertical="center"/>
    </xf>
    <xf numFmtId="169" fontId="8" fillId="12" borderId="31" xfId="3" applyNumberFormat="1" applyFont="1" applyFill="1" applyBorder="1" applyAlignment="1">
      <alignment horizontal="center" vertical="center"/>
    </xf>
    <xf numFmtId="164" fontId="0" fillId="0" borderId="32" xfId="3" applyFont="1" applyBorder="1" applyAlignment="1">
      <alignment horizontal="left" vertical="center"/>
    </xf>
    <xf numFmtId="164" fontId="0" fillId="0" borderId="32" xfId="3" applyFont="1" applyBorder="1" applyAlignment="1">
      <alignment horizontal="center" vertical="center"/>
    </xf>
    <xf numFmtId="168" fontId="20" fillId="0" borderId="32" xfId="3" applyNumberFormat="1" applyFont="1" applyBorder="1" applyAlignment="1">
      <alignment horizontal="center" vertical="center"/>
    </xf>
    <xf numFmtId="166" fontId="6" fillId="0" borderId="32" xfId="3" applyNumberFormat="1" applyBorder="1">
      <alignment horizontal="right" vertical="center"/>
    </xf>
    <xf numFmtId="166" fontId="4" fillId="0" borderId="32" xfId="3" applyNumberFormat="1" applyFont="1" applyBorder="1" applyAlignment="1">
      <alignment horizontal="center" vertical="center"/>
    </xf>
    <xf numFmtId="166" fontId="5" fillId="0" borderId="32" xfId="2" applyNumberFormat="1" applyFont="1" applyBorder="1" applyAlignment="1">
      <alignment horizontal="left" vertical="center"/>
    </xf>
    <xf numFmtId="168" fontId="8" fillId="0" borderId="32" xfId="3" applyNumberFormat="1" applyFont="1" applyBorder="1" applyAlignment="1">
      <alignment horizontal="center" vertical="center"/>
    </xf>
    <xf numFmtId="164" fontId="2" fillId="0" borderId="0" xfId="3" applyFont="1" applyAlignment="1">
      <alignment horizontal="left" vertical="center"/>
    </xf>
    <xf numFmtId="164" fontId="6" fillId="0" borderId="0" xfId="3" quotePrefix="1">
      <alignment horizontal="right" vertical="center"/>
    </xf>
    <xf numFmtId="173" fontId="6" fillId="0" borderId="0" xfId="3" applyNumberFormat="1" applyAlignment="1">
      <alignment horizontal="right" vertical="center"/>
    </xf>
    <xf numFmtId="164" fontId="21" fillId="0" borderId="0" xfId="3" applyFont="1">
      <alignment horizontal="right" vertical="center"/>
    </xf>
    <xf numFmtId="164" fontId="21" fillId="0" borderId="0" xfId="2" applyNumberFormat="1" applyFont="1">
      <alignment vertical="center"/>
    </xf>
    <xf numFmtId="164" fontId="21" fillId="0" borderId="0" xfId="3" applyFont="1" applyAlignment="1">
      <alignment horizontal="center" vertical="center"/>
    </xf>
    <xf numFmtId="166" fontId="21" fillId="0" borderId="0" xfId="3" applyNumberFormat="1" applyFont="1">
      <alignment horizontal="right" vertical="center"/>
    </xf>
    <xf numFmtId="166" fontId="22" fillId="0" borderId="0" xfId="3" applyNumberFormat="1" applyFont="1" applyAlignment="1">
      <alignment horizontal="center" vertical="center"/>
    </xf>
    <xf numFmtId="166" fontId="23" fillId="0" borderId="0" xfId="2" applyNumberFormat="1" applyFont="1" applyAlignment="1">
      <alignment horizontal="left" vertical="center"/>
    </xf>
    <xf numFmtId="164" fontId="21" fillId="0" borderId="0" xfId="3" applyFont="1" applyAlignment="1">
      <alignment horizontal="left" vertical="center" indent="1"/>
    </xf>
    <xf numFmtId="166" fontId="24" fillId="0" borderId="0" xfId="3" applyNumberFormat="1" applyFont="1" applyAlignment="1">
      <alignment horizontal="center" vertical="center"/>
    </xf>
    <xf numFmtId="164" fontId="6" fillId="0" borderId="0" xfId="3" applyFill="1">
      <alignment horizontal="right" vertical="center"/>
    </xf>
    <xf numFmtId="0" fontId="6" fillId="0" borderId="0" xfId="2" applyFill="1">
      <alignment vertical="center"/>
    </xf>
    <xf numFmtId="164" fontId="1" fillId="0" borderId="0" xfId="3" applyFont="1" applyFill="1">
      <alignment horizontal="right" vertical="center"/>
    </xf>
    <xf numFmtId="164" fontId="25" fillId="0" borderId="0" xfId="3" applyFont="1" applyFill="1" applyAlignment="1">
      <alignment horizontal="left" vertical="center"/>
    </xf>
    <xf numFmtId="164" fontId="5" fillId="0" borderId="0" xfId="3" applyFont="1" applyAlignment="1">
      <alignment horizontal="left" vertical="center" wrapText="1"/>
    </xf>
  </cellXfs>
  <cellStyles count="5">
    <cellStyle name="Formula_1" xfId="3" xr:uid="{00000000-0005-0000-0000-000007000000}"/>
    <cellStyle name="Normal" xfId="0" builtinId="0"/>
    <cellStyle name="Note" xfId="4" builtinId="10"/>
    <cellStyle name="Percent" xfId="1" builtinId="5"/>
    <cellStyle name="Text" xfId="2" xr:uid="{00000000-0005-0000-0000-000006000000}"/>
  </cellStyles>
  <dxfs count="0"/>
  <tableStyles count="0" defaultTableStyle="TableStyleMedium2" defaultPivotStyle="PivotStyleLight16"/>
  <colors>
    <mruColors>
      <color rgb="FF0000FF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heme1">
  <a:themeElements>
    <a:clrScheme name="Present 2015b">
      <a:dk1>
        <a:srgbClr val="525766"/>
      </a:dk1>
      <a:lt1>
        <a:srgbClr val="FFFFFF"/>
      </a:lt1>
      <a:dk2>
        <a:srgbClr val="002855"/>
      </a:dk2>
      <a:lt2>
        <a:srgbClr val="0067A5"/>
      </a:lt2>
      <a:accent1>
        <a:srgbClr val="508BC9"/>
      </a:accent1>
      <a:accent2>
        <a:srgbClr val="BCBFC6"/>
      </a:accent2>
      <a:accent3>
        <a:srgbClr val="7E8597"/>
      </a:accent3>
      <a:accent4>
        <a:srgbClr val="24B1B1"/>
      </a:accent4>
      <a:accent5>
        <a:srgbClr val="6C1E36"/>
      </a:accent5>
      <a:accent6>
        <a:srgbClr val="9FC3DA"/>
      </a:accent6>
      <a:hlink>
        <a:srgbClr val="0067A5"/>
      </a:hlink>
      <a:folHlink>
        <a:srgbClr val="7CACC6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ustomProperty" Target="../customProperty2.bin"/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customProperty" Target="../customProperty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519388-7037-484D-A42D-1AAC7B8520E9}">
  <sheetPr>
    <tabColor theme="2"/>
    <pageSetUpPr fitToPage="1"/>
  </sheetPr>
  <dimension ref="A1:X63"/>
  <sheetViews>
    <sheetView showGridLines="0" tabSelected="1" view="pageBreakPreview" zoomScale="70" zoomScaleNormal="85" zoomScaleSheetLayoutView="70" workbookViewId="0">
      <selection activeCell="L22" sqref="L22"/>
    </sheetView>
  </sheetViews>
  <sheetFormatPr defaultColWidth="9.5703125" defaultRowHeight="15" customHeight="1" outlineLevelRow="1" x14ac:dyDescent="0.2"/>
  <cols>
    <col min="1" max="1" width="2.42578125" style="4" customWidth="1"/>
    <col min="2" max="3" width="3.5703125" style="7" customWidth="1"/>
    <col min="4" max="4" width="61.140625" style="5" bestFit="1" customWidth="1"/>
    <col min="5" max="5" width="12.42578125" style="4" customWidth="1"/>
    <col min="6" max="6" width="15.5703125" style="4" customWidth="1"/>
    <col min="7" max="7" width="1.5703125" style="4" customWidth="1"/>
    <col min="8" max="8" width="15.5703125" style="4" customWidth="1"/>
    <col min="9" max="9" width="1.5703125" style="4" customWidth="1"/>
    <col min="10" max="10" width="15.5703125" style="4" customWidth="1"/>
    <col min="11" max="11" width="1.5703125" style="4" customWidth="1"/>
    <col min="12" max="12" width="15.5703125" style="4" customWidth="1"/>
    <col min="13" max="13" width="1.5703125" style="4" customWidth="1"/>
    <col min="14" max="14" width="15.5703125" style="4" customWidth="1"/>
    <col min="15" max="15" width="1.5703125" style="4" customWidth="1"/>
    <col min="16" max="16" width="15.5703125" style="4" customWidth="1"/>
    <col min="17" max="17" width="1.5703125" style="4" customWidth="1"/>
    <col min="18" max="18" width="15.5703125" style="4" customWidth="1"/>
    <col min="19" max="19" width="1.5703125" style="4" customWidth="1"/>
    <col min="20" max="20" width="15.5703125" style="4" customWidth="1"/>
    <col min="21" max="21" width="1.5703125" style="4" customWidth="1"/>
    <col min="22" max="22" width="15.5703125" style="4" customWidth="1"/>
    <col min="23" max="23" width="1.85546875" style="4" customWidth="1"/>
    <col min="24" max="24" width="73.140625" style="4" bestFit="1" customWidth="1"/>
    <col min="25" max="25" width="3.140625" style="4" customWidth="1"/>
    <col min="26" max="16384" width="9.5703125" style="4"/>
  </cols>
  <sheetData>
    <row r="1" spans="1:24" ht="24.95" customHeight="1" thickBot="1" x14ac:dyDescent="0.25">
      <c r="A1" s="1" t="s">
        <v>15</v>
      </c>
      <c r="B1" s="2"/>
      <c r="C1" s="2"/>
      <c r="D1" s="2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</row>
    <row r="2" spans="1:24" ht="24.95" customHeight="1" x14ac:dyDescent="0.2">
      <c r="A2" s="8" t="str">
        <f ca="1">MID(CELL("filename",A1),FIND("]",CELL("filename",A1))+1,255)</f>
        <v>Warrants Worked Example_vMerger</v>
      </c>
      <c r="B2" s="4"/>
      <c r="C2" s="4"/>
    </row>
    <row r="3" spans="1:24" ht="15" customHeight="1" x14ac:dyDescent="0.2">
      <c r="B3" s="6"/>
      <c r="C3" s="6"/>
    </row>
    <row r="4" spans="1:24" ht="15" customHeight="1" x14ac:dyDescent="0.2">
      <c r="B4" s="6"/>
      <c r="C4" s="6"/>
      <c r="D4" s="103" t="s">
        <v>94</v>
      </c>
      <c r="E4" s="104"/>
      <c r="F4" s="104"/>
      <c r="G4" s="104"/>
      <c r="H4" s="104"/>
      <c r="I4" s="104"/>
      <c r="J4" s="104"/>
      <c r="K4" s="104"/>
      <c r="L4" s="104"/>
      <c r="M4" s="104"/>
      <c r="N4" s="104"/>
      <c r="O4" s="104"/>
      <c r="P4" s="104"/>
      <c r="Q4" s="104"/>
      <c r="R4" s="104"/>
      <c r="S4" s="104"/>
      <c r="T4" s="104"/>
      <c r="U4" s="104"/>
      <c r="V4" s="104"/>
      <c r="W4" s="104"/>
      <c r="X4" s="104"/>
    </row>
    <row r="5" spans="1:24" s="151" customFormat="1" ht="15" customHeight="1" x14ac:dyDescent="0.2">
      <c r="B5" s="152"/>
      <c r="C5" s="152"/>
      <c r="D5" s="154" t="s">
        <v>115</v>
      </c>
      <c r="E5" s="153"/>
      <c r="F5" s="153"/>
      <c r="G5" s="153"/>
      <c r="H5" s="153"/>
      <c r="I5" s="153"/>
      <c r="J5" s="153"/>
      <c r="K5" s="153"/>
      <c r="L5" s="153"/>
      <c r="M5" s="153"/>
      <c r="N5" s="153"/>
      <c r="O5" s="153"/>
      <c r="P5" s="153"/>
      <c r="Q5" s="153"/>
      <c r="R5" s="153"/>
      <c r="S5" s="153"/>
      <c r="T5" s="153"/>
      <c r="U5" s="153"/>
      <c r="V5" s="153"/>
      <c r="W5" s="153"/>
      <c r="X5" s="153"/>
    </row>
    <row r="6" spans="1:24" s="151" customFormat="1" ht="15" customHeight="1" x14ac:dyDescent="0.2">
      <c r="B6" s="152"/>
      <c r="C6" s="152"/>
      <c r="D6" s="154"/>
      <c r="E6" s="153"/>
      <c r="F6" s="153"/>
      <c r="G6" s="153"/>
      <c r="H6" s="153"/>
      <c r="I6" s="153"/>
      <c r="J6" s="153"/>
      <c r="K6" s="153"/>
      <c r="L6" s="153"/>
      <c r="M6" s="153"/>
      <c r="N6" s="153"/>
      <c r="O6" s="153"/>
      <c r="P6" s="153"/>
      <c r="Q6" s="153"/>
      <c r="R6" s="153"/>
      <c r="S6" s="153"/>
      <c r="T6" s="153"/>
      <c r="U6" s="153"/>
      <c r="V6" s="153"/>
      <c r="W6" s="153"/>
      <c r="X6" s="153"/>
    </row>
    <row r="7" spans="1:24" ht="15" customHeight="1" x14ac:dyDescent="0.2">
      <c r="B7" s="6"/>
      <c r="C7" s="6"/>
      <c r="D7" s="140" t="s">
        <v>89</v>
      </c>
    </row>
    <row r="8" spans="1:24" ht="15" customHeight="1" x14ac:dyDescent="0.2">
      <c r="B8" s="6"/>
      <c r="C8" s="6"/>
      <c r="D8" s="123" t="s">
        <v>90</v>
      </c>
      <c r="E8" s="121">
        <v>0.5</v>
      </c>
    </row>
    <row r="9" spans="1:24" ht="15" customHeight="1" x14ac:dyDescent="0.2">
      <c r="B9" s="6"/>
      <c r="C9" s="6"/>
      <c r="D9" s="123" t="s">
        <v>107</v>
      </c>
      <c r="E9" s="122">
        <f>1-E8</f>
        <v>0.5</v>
      </c>
    </row>
    <row r="10" spans="1:24" ht="15" customHeight="1" x14ac:dyDescent="0.2">
      <c r="B10" s="6"/>
      <c r="C10" s="6"/>
      <c r="D10" s="120" t="s">
        <v>91</v>
      </c>
      <c r="E10" s="124">
        <f>SUM(E8:E9)</f>
        <v>1</v>
      </c>
      <c r="F10" s="142"/>
    </row>
    <row r="11" spans="1:24" ht="15" customHeight="1" thickBot="1" x14ac:dyDescent="0.25">
      <c r="B11" s="6"/>
      <c r="C11" s="6"/>
      <c r="D11" s="120"/>
      <c r="F11" s="142"/>
    </row>
    <row r="12" spans="1:24" ht="15" customHeight="1" thickBot="1" x14ac:dyDescent="0.25">
      <c r="B12" s="6"/>
      <c r="C12" s="6"/>
      <c r="F12" s="10" t="s">
        <v>6</v>
      </c>
      <c r="G12" s="10"/>
      <c r="H12" s="10"/>
      <c r="I12" s="10"/>
      <c r="J12" s="10"/>
      <c r="L12" s="10" t="s">
        <v>7</v>
      </c>
      <c r="M12" s="10"/>
      <c r="N12" s="10"/>
      <c r="O12" s="10"/>
      <c r="P12" s="10"/>
      <c r="R12" s="10" t="s">
        <v>8</v>
      </c>
      <c r="S12" s="10"/>
      <c r="T12" s="10"/>
      <c r="U12" s="10"/>
      <c r="V12" s="10"/>
      <c r="X12" s="90" t="s">
        <v>16</v>
      </c>
    </row>
    <row r="13" spans="1:24" ht="5.0999999999999996" customHeight="1" thickBot="1" x14ac:dyDescent="0.25">
      <c r="B13" s="6"/>
      <c r="C13" s="6"/>
    </row>
    <row r="14" spans="1:24" ht="15" customHeight="1" thickBot="1" x14ac:dyDescent="0.25">
      <c r="F14" s="11" t="str">
        <f>+"EV @ "&amp;TEXT(F16,0)&amp;"m"</f>
        <v>EV @ 1800m</v>
      </c>
      <c r="H14" s="12" t="str">
        <f>+"EV @ "&amp;TEXT(H16,0)&amp;"m"</f>
        <v>EV @ 2200m</v>
      </c>
      <c r="J14" s="13" t="str">
        <f>+"EV @ "&amp;TEXT(J16,0)&amp;"m"</f>
        <v>EV @ 2600m</v>
      </c>
      <c r="L14" s="11" t="str">
        <f>+"EV @ "&amp;TEXT(L16,0)&amp;"m"</f>
        <v>EV @ 1800m</v>
      </c>
      <c r="N14" s="12" t="str">
        <f>+"EV @ "&amp;TEXT(N16,0)&amp;"m"</f>
        <v>EV @ 2200m</v>
      </c>
      <c r="P14" s="13" t="str">
        <f>+"EV @ "&amp;TEXT(P16,0)&amp;"m"</f>
        <v>EV @ 2600m</v>
      </c>
      <c r="R14" s="11" t="str">
        <f>+"EV @ "&amp;TEXT(R16,0)&amp;"m"</f>
        <v>EV @ 1800m</v>
      </c>
      <c r="T14" s="12" t="str">
        <f>+"EV @ "&amp;TEXT(T16,0)&amp;"m"</f>
        <v>EV @ 2200m</v>
      </c>
      <c r="V14" s="13" t="str">
        <f>+"EV @ "&amp;TEXT(V16,0)&amp;"m"</f>
        <v>EV @ 2600m</v>
      </c>
    </row>
    <row r="15" spans="1:24" ht="5.0999999999999996" customHeight="1" thickBot="1" x14ac:dyDescent="0.25">
      <c r="F15" s="9"/>
      <c r="H15" s="9"/>
      <c r="J15" s="9"/>
      <c r="K15" s="14"/>
      <c r="L15" s="9"/>
      <c r="N15" s="9"/>
      <c r="P15" s="9"/>
      <c r="R15" s="9"/>
      <c r="T15" s="9"/>
      <c r="V15" s="9"/>
    </row>
    <row r="16" spans="1:24" ht="15" customHeight="1" x14ac:dyDescent="0.2">
      <c r="C16" s="91" t="s">
        <v>18</v>
      </c>
      <c r="D16" s="15" t="s">
        <v>4</v>
      </c>
      <c r="E16" s="16" t="s">
        <v>0</v>
      </c>
      <c r="F16" s="17">
        <v>1800</v>
      </c>
      <c r="G16" s="18"/>
      <c r="H16" s="17">
        <v>2200</v>
      </c>
      <c r="I16" s="19"/>
      <c r="J16" s="17">
        <v>2600</v>
      </c>
      <c r="K16" s="20"/>
      <c r="L16" s="17">
        <v>1800</v>
      </c>
      <c r="M16" s="18"/>
      <c r="N16" s="17">
        <v>2200</v>
      </c>
      <c r="O16" s="19"/>
      <c r="P16" s="17">
        <v>2600</v>
      </c>
      <c r="Q16" s="18"/>
      <c r="R16" s="17">
        <v>1800</v>
      </c>
      <c r="S16" s="18"/>
      <c r="T16" s="17">
        <v>2200</v>
      </c>
      <c r="U16" s="19"/>
      <c r="V16" s="17">
        <v>2600</v>
      </c>
      <c r="X16" s="141"/>
    </row>
    <row r="17" spans="3:24" ht="15" customHeight="1" thickBot="1" x14ac:dyDescent="0.25">
      <c r="D17" s="21"/>
      <c r="E17" s="22"/>
      <c r="F17" s="23"/>
      <c r="H17" s="23"/>
      <c r="I17" s="24"/>
      <c r="J17" s="23"/>
      <c r="K17" s="25"/>
      <c r="L17" s="23"/>
      <c r="N17" s="23"/>
      <c r="O17" s="24"/>
      <c r="P17" s="23"/>
      <c r="R17" s="23"/>
      <c r="T17" s="23"/>
      <c r="U17" s="24"/>
      <c r="V17" s="23"/>
    </row>
    <row r="18" spans="3:24" ht="15" hidden="1" customHeight="1" outlineLevel="1" thickBot="1" x14ac:dyDescent="0.25">
      <c r="C18" s="92" t="s">
        <v>19</v>
      </c>
      <c r="D18" s="21" t="s">
        <v>5</v>
      </c>
      <c r="E18" s="16" t="s">
        <v>0</v>
      </c>
      <c r="F18" s="110">
        <f t="array" ref="F18">-SUM(IF(F$36=Debt!$I$4:$AU$4,Debt!$I$42:$AU$42,0))</f>
        <v>-54.936946154797333</v>
      </c>
      <c r="G18" s="26"/>
      <c r="H18" s="27">
        <f>+F18</f>
        <v>-54.936946154797333</v>
      </c>
      <c r="I18" s="26"/>
      <c r="J18" s="27">
        <f>+F18</f>
        <v>-54.936946154797333</v>
      </c>
      <c r="K18" s="26"/>
      <c r="L18" s="110">
        <f t="array" ref="L18">-SUM(IF(L$36=Debt!$I$4:$AU$4,Debt!$I$42:$AU$42,0))</f>
        <v>-62.058925503086961</v>
      </c>
      <c r="M18" s="26"/>
      <c r="N18" s="27">
        <f>+L18</f>
        <v>-62.058925503086961</v>
      </c>
      <c r="O18" s="26"/>
      <c r="P18" s="27">
        <f>+L18</f>
        <v>-62.058925503086961</v>
      </c>
      <c r="Q18" s="26"/>
      <c r="R18" s="110">
        <f t="array" ref="R18">-SUM(IF(R$36=Debt!$I$4:$AU$4,Debt!$I$42:$AU$42,0))</f>
        <v>-78.296381446347752</v>
      </c>
      <c r="S18" s="26"/>
      <c r="T18" s="27">
        <f>+R18</f>
        <v>-78.296381446347752</v>
      </c>
      <c r="U18" s="26"/>
      <c r="V18" s="27">
        <f>+R18</f>
        <v>-78.296381446347752</v>
      </c>
      <c r="X18" s="21" t="s">
        <v>17</v>
      </c>
    </row>
    <row r="19" spans="3:24" ht="15" hidden="1" customHeight="1" outlineLevel="1" thickBot="1" x14ac:dyDescent="0.25">
      <c r="C19" s="92" t="s">
        <v>20</v>
      </c>
      <c r="D19" s="21" t="s">
        <v>84</v>
      </c>
      <c r="E19" s="16" t="s">
        <v>0</v>
      </c>
      <c r="F19" s="110" cm="1">
        <f t="array" ref="F19">-SUM(IF(F$36=Debt!$I$4:$AU$4,Debt!$I$37:$AU$37,0))</f>
        <v>-138.26247100515462</v>
      </c>
      <c r="G19" s="26"/>
      <c r="H19" s="27">
        <f>+F19</f>
        <v>-138.26247100515462</v>
      </c>
      <c r="I19" s="26"/>
      <c r="J19" s="27">
        <f>+F19</f>
        <v>-138.26247100515462</v>
      </c>
      <c r="K19" s="26"/>
      <c r="L19" s="110">
        <f t="array" ref="L19">-SUM(IF(L$36=Debt!$I$4:$AU$4,Debt!$I$37:$AU$37,0))</f>
        <v>-142.44145419128546</v>
      </c>
      <c r="M19" s="26"/>
      <c r="N19" s="27">
        <f>+L19</f>
        <v>-142.44145419128546</v>
      </c>
      <c r="O19" s="26"/>
      <c r="P19" s="27">
        <f>+L19</f>
        <v>-142.44145419128546</v>
      </c>
      <c r="Q19" s="26"/>
      <c r="R19" s="110">
        <f t="array" ref="R19">-SUM(IF(R$36=Debt!$I$4:$AU$4,Debt!$I$37:$AU$37,0))</f>
        <v>-150.17588660259113</v>
      </c>
      <c r="S19" s="26"/>
      <c r="T19" s="27">
        <f>+R19</f>
        <v>-150.17588660259113</v>
      </c>
      <c r="U19" s="26"/>
      <c r="V19" s="27">
        <f>+R19</f>
        <v>-150.17588660259113</v>
      </c>
      <c r="X19" s="21" t="s">
        <v>83</v>
      </c>
    </row>
    <row r="20" spans="3:24" ht="15" hidden="1" customHeight="1" outlineLevel="1" thickBot="1" x14ac:dyDescent="0.25">
      <c r="C20" s="92" t="s">
        <v>21</v>
      </c>
      <c r="D20" s="21" t="s">
        <v>46</v>
      </c>
      <c r="E20" s="30" t="s">
        <v>0</v>
      </c>
      <c r="F20" s="27">
        <f>76.4035644163217-40</f>
        <v>36.4035644163217</v>
      </c>
      <c r="G20" s="31"/>
      <c r="H20" s="27">
        <f>+F20</f>
        <v>36.4035644163217</v>
      </c>
      <c r="I20" s="26"/>
      <c r="J20" s="27">
        <f>+F20</f>
        <v>36.4035644163217</v>
      </c>
      <c r="K20" s="32"/>
      <c r="L20" s="27">
        <f>60.5247980843653-40</f>
        <v>20.524798084365301</v>
      </c>
      <c r="M20" s="31"/>
      <c r="N20" s="27">
        <f>+L20</f>
        <v>20.524798084365301</v>
      </c>
      <c r="O20" s="26"/>
      <c r="P20" s="27">
        <f>+L20</f>
        <v>20.524798084365301</v>
      </c>
      <c r="Q20" s="31"/>
      <c r="R20" s="27">
        <f>127.847133366978-40</f>
        <v>87.847133366977999</v>
      </c>
      <c r="S20" s="31"/>
      <c r="T20" s="27">
        <f>+R20</f>
        <v>87.847133366977999</v>
      </c>
      <c r="U20" s="26"/>
      <c r="V20" s="27">
        <f>+R20</f>
        <v>87.847133366977999</v>
      </c>
      <c r="X20" s="21" t="s">
        <v>82</v>
      </c>
    </row>
    <row r="21" spans="3:24" ht="15" customHeight="1" collapsed="1" x14ac:dyDescent="0.2">
      <c r="C21" s="92" t="s">
        <v>19</v>
      </c>
      <c r="D21" s="21" t="s">
        <v>102</v>
      </c>
      <c r="E21" s="30" t="s">
        <v>0</v>
      </c>
      <c r="F21" s="27">
        <f>SUM(F18:F20)</f>
        <v>-156.79585274363026</v>
      </c>
      <c r="G21" s="31"/>
      <c r="H21" s="27">
        <f>SUM(H18:H20)</f>
        <v>-156.79585274363026</v>
      </c>
      <c r="I21" s="26"/>
      <c r="J21" s="27">
        <f>SUM(J18:J20)</f>
        <v>-156.79585274363026</v>
      </c>
      <c r="K21" s="32"/>
      <c r="L21" s="27">
        <f>SUM(L18:L20)</f>
        <v>-183.97558161000711</v>
      </c>
      <c r="M21" s="31"/>
      <c r="N21" s="27">
        <f>SUM(N18:N20)</f>
        <v>-183.97558161000711</v>
      </c>
      <c r="O21" s="26"/>
      <c r="P21" s="27">
        <f>SUM(P18:P20)</f>
        <v>-183.97558161000711</v>
      </c>
      <c r="Q21" s="31"/>
      <c r="R21" s="27">
        <f>SUM(R18:R20)</f>
        <v>-140.62513468196087</v>
      </c>
      <c r="S21" s="31"/>
      <c r="T21" s="27">
        <f>SUM(T18:T20)</f>
        <v>-140.62513468196087</v>
      </c>
      <c r="U21" s="26"/>
      <c r="V21" s="27">
        <f>SUM(V18:V20)</f>
        <v>-140.62513468196087</v>
      </c>
      <c r="X21" s="21" t="s">
        <v>103</v>
      </c>
    </row>
    <row r="22" spans="3:24" ht="15" customHeight="1" x14ac:dyDescent="0.2">
      <c r="C22" s="91" t="s">
        <v>20</v>
      </c>
      <c r="D22" s="33" t="s">
        <v>85</v>
      </c>
      <c r="E22" s="34" t="s">
        <v>0</v>
      </c>
      <c r="F22" s="35">
        <f>+F16+F21</f>
        <v>1643.2041472563697</v>
      </c>
      <c r="G22" s="36"/>
      <c r="H22" s="35">
        <f>+H16+H21</f>
        <v>2043.2041472563697</v>
      </c>
      <c r="I22" s="36"/>
      <c r="J22" s="35">
        <f>+J16+J21</f>
        <v>2443.2041472563697</v>
      </c>
      <c r="K22" s="37"/>
      <c r="L22" s="35">
        <f>+L16+L21</f>
        <v>1616.0244183899929</v>
      </c>
      <c r="M22" s="36"/>
      <c r="N22" s="35">
        <f>+N16+N21</f>
        <v>2016.0244183899929</v>
      </c>
      <c r="O22" s="36"/>
      <c r="P22" s="35">
        <f>+P16+P21</f>
        <v>2416.0244183899931</v>
      </c>
      <c r="Q22" s="38"/>
      <c r="R22" s="35">
        <f>+R16+R21</f>
        <v>1659.3748653180392</v>
      </c>
      <c r="S22" s="36"/>
      <c r="T22" s="35">
        <f>+T16+T21</f>
        <v>2059.3748653180392</v>
      </c>
      <c r="U22" s="36"/>
      <c r="V22" s="35">
        <f>+V16+V21</f>
        <v>2459.3748653180392</v>
      </c>
      <c r="X22" s="48" t="s">
        <v>96</v>
      </c>
    </row>
    <row r="23" spans="3:24" ht="15" customHeight="1" x14ac:dyDescent="0.2">
      <c r="D23" s="21"/>
      <c r="E23" s="22"/>
      <c r="F23" s="26"/>
      <c r="G23" s="31"/>
      <c r="H23" s="26"/>
      <c r="I23" s="26"/>
      <c r="J23" s="26"/>
      <c r="K23" s="32"/>
      <c r="L23" s="26"/>
      <c r="M23" s="31"/>
      <c r="N23" s="26"/>
      <c r="O23" s="26"/>
      <c r="P23" s="26"/>
      <c r="Q23" s="31"/>
      <c r="R23" s="26"/>
      <c r="S23" s="31"/>
      <c r="T23" s="26"/>
      <c r="U23" s="26"/>
      <c r="V23" s="26"/>
    </row>
    <row r="24" spans="3:24" ht="15" customHeight="1" x14ac:dyDescent="0.2">
      <c r="C24" s="92"/>
      <c r="D24" s="21" t="s">
        <v>105</v>
      </c>
      <c r="E24" s="39" t="s">
        <v>1</v>
      </c>
      <c r="F24" s="29">
        <v>0.22500000000000001</v>
      </c>
      <c r="G24" s="31"/>
      <c r="H24" s="41">
        <f>+F24</f>
        <v>0.22500000000000001</v>
      </c>
      <c r="I24" s="26"/>
      <c r="J24" s="41">
        <f>+H24</f>
        <v>0.22500000000000001</v>
      </c>
      <c r="K24" s="32"/>
      <c r="L24" s="41">
        <f t="shared" ref="L24:P25" si="0">+J24</f>
        <v>0.22500000000000001</v>
      </c>
      <c r="M24" s="41"/>
      <c r="N24" s="41">
        <f t="shared" si="0"/>
        <v>0.22500000000000001</v>
      </c>
      <c r="O24" s="41"/>
      <c r="P24" s="41">
        <f t="shared" si="0"/>
        <v>0.22500000000000001</v>
      </c>
      <c r="Q24" s="31"/>
      <c r="R24" s="41">
        <f t="shared" ref="R24:R25" si="1">+P24</f>
        <v>0.22500000000000001</v>
      </c>
      <c r="S24" s="41"/>
      <c r="T24" s="41">
        <f t="shared" ref="T24:T25" si="2">+R24</f>
        <v>0.22500000000000001</v>
      </c>
      <c r="U24" s="41"/>
      <c r="V24" s="41">
        <f t="shared" ref="V24:V25" si="3">+T24</f>
        <v>0.22500000000000001</v>
      </c>
      <c r="X24" s="21"/>
    </row>
    <row r="25" spans="3:24" ht="15" customHeight="1" x14ac:dyDescent="0.2">
      <c r="C25" s="92"/>
      <c r="D25" s="21" t="s">
        <v>106</v>
      </c>
      <c r="E25" s="39" t="s">
        <v>1</v>
      </c>
      <c r="F25" s="29">
        <v>0.77500000000000002</v>
      </c>
      <c r="G25" s="31"/>
      <c r="H25" s="41">
        <f>+F25</f>
        <v>0.77500000000000002</v>
      </c>
      <c r="I25" s="26"/>
      <c r="J25" s="41">
        <f>+H25</f>
        <v>0.77500000000000002</v>
      </c>
      <c r="K25" s="32"/>
      <c r="L25" s="41">
        <f t="shared" si="0"/>
        <v>0.77500000000000002</v>
      </c>
      <c r="M25" s="41"/>
      <c r="N25" s="41">
        <f t="shared" si="0"/>
        <v>0.77500000000000002</v>
      </c>
      <c r="O25" s="41"/>
      <c r="P25" s="41">
        <f t="shared" si="0"/>
        <v>0.77500000000000002</v>
      </c>
      <c r="Q25" s="31"/>
      <c r="R25" s="41">
        <f t="shared" si="1"/>
        <v>0.77500000000000002</v>
      </c>
      <c r="S25" s="41"/>
      <c r="T25" s="41">
        <f t="shared" si="2"/>
        <v>0.77500000000000002</v>
      </c>
      <c r="U25" s="41"/>
      <c r="V25" s="41">
        <f t="shared" si="3"/>
        <v>0.77500000000000002</v>
      </c>
      <c r="X25" s="21"/>
    </row>
    <row r="26" spans="3:24" ht="15" customHeight="1" x14ac:dyDescent="0.2">
      <c r="C26" s="92"/>
      <c r="D26" s="21"/>
      <c r="E26" s="39"/>
      <c r="F26" s="29"/>
      <c r="G26" s="31"/>
      <c r="H26" s="41"/>
      <c r="I26" s="26"/>
      <c r="J26" s="41"/>
      <c r="K26" s="32"/>
      <c r="L26" s="41"/>
      <c r="M26" s="41"/>
      <c r="N26" s="41"/>
      <c r="O26" s="41"/>
      <c r="P26" s="41"/>
      <c r="Q26" s="31"/>
      <c r="R26" s="41"/>
      <c r="S26" s="41"/>
      <c r="T26" s="41"/>
      <c r="U26" s="41"/>
      <c r="V26" s="41"/>
      <c r="X26" s="21"/>
    </row>
    <row r="27" spans="3:24" ht="15" customHeight="1" x14ac:dyDescent="0.2">
      <c r="C27" s="92"/>
      <c r="D27" s="133" t="s">
        <v>95</v>
      </c>
      <c r="E27" s="134" t="s">
        <v>1</v>
      </c>
      <c r="F27" s="135">
        <f>+E8</f>
        <v>0.5</v>
      </c>
      <c r="G27" s="136"/>
      <c r="H27" s="135">
        <f>+F27</f>
        <v>0.5</v>
      </c>
      <c r="I27" s="137"/>
      <c r="J27" s="135">
        <f>+H27</f>
        <v>0.5</v>
      </c>
      <c r="K27" s="138"/>
      <c r="L27" s="135">
        <f>+J27</f>
        <v>0.5</v>
      </c>
      <c r="M27" s="139"/>
      <c r="N27" s="135">
        <f>+L27</f>
        <v>0.5</v>
      </c>
      <c r="O27" s="139"/>
      <c r="P27" s="135">
        <f>+N27</f>
        <v>0.5</v>
      </c>
      <c r="Q27" s="136"/>
      <c r="R27" s="135">
        <f>+P27</f>
        <v>0.5</v>
      </c>
      <c r="S27" s="139"/>
      <c r="T27" s="135">
        <f>+R27</f>
        <v>0.5</v>
      </c>
      <c r="U27" s="139"/>
      <c r="V27" s="135">
        <f>+T27</f>
        <v>0.5</v>
      </c>
      <c r="X27" s="21"/>
    </row>
    <row r="28" spans="3:24" ht="15" customHeight="1" x14ac:dyDescent="0.2">
      <c r="C28" s="92"/>
      <c r="D28" s="21"/>
      <c r="E28" s="39"/>
      <c r="F28" s="29"/>
      <c r="G28" s="31"/>
      <c r="H28" s="41"/>
      <c r="I28" s="26"/>
      <c r="J28" s="41"/>
      <c r="K28" s="32"/>
      <c r="L28" s="41"/>
      <c r="M28" s="41"/>
      <c r="N28" s="41"/>
      <c r="O28" s="41"/>
      <c r="P28" s="41"/>
      <c r="Q28" s="31"/>
      <c r="R28" s="41"/>
      <c r="S28" s="41"/>
      <c r="T28" s="41"/>
      <c r="U28" s="41"/>
      <c r="V28" s="41"/>
      <c r="X28" s="21"/>
    </row>
    <row r="29" spans="3:24" ht="15" customHeight="1" x14ac:dyDescent="0.2">
      <c r="C29" s="92" t="s">
        <v>21</v>
      </c>
      <c r="D29" s="21" t="s">
        <v>92</v>
      </c>
      <c r="E29" s="39" t="s">
        <v>1</v>
      </c>
      <c r="F29" s="125">
        <f>+F27*F24</f>
        <v>0.1125</v>
      </c>
      <c r="G29" s="31"/>
      <c r="H29" s="125">
        <f>+H27*H24</f>
        <v>0.1125</v>
      </c>
      <c r="I29" s="26"/>
      <c r="J29" s="125">
        <f>+J27*J24</f>
        <v>0.1125</v>
      </c>
      <c r="K29" s="32"/>
      <c r="L29" s="125">
        <f>+L27*L24</f>
        <v>0.1125</v>
      </c>
      <c r="M29" s="41"/>
      <c r="N29" s="125">
        <f>+N27*N24</f>
        <v>0.1125</v>
      </c>
      <c r="O29" s="41"/>
      <c r="P29" s="125">
        <f>+P27*P24</f>
        <v>0.1125</v>
      </c>
      <c r="Q29" s="31"/>
      <c r="R29" s="125">
        <f>+R27*R24</f>
        <v>0.1125</v>
      </c>
      <c r="S29" s="41"/>
      <c r="T29" s="125">
        <f>+T27*T24</f>
        <v>0.1125</v>
      </c>
      <c r="U29" s="41"/>
      <c r="V29" s="125">
        <f>+V27*V24</f>
        <v>0.1125</v>
      </c>
      <c r="X29" s="21"/>
    </row>
    <row r="30" spans="3:24" ht="15" customHeight="1" x14ac:dyDescent="0.2">
      <c r="C30" s="92" t="s">
        <v>22</v>
      </c>
      <c r="D30" s="21" t="s">
        <v>93</v>
      </c>
      <c r="E30" s="39" t="s">
        <v>1</v>
      </c>
      <c r="F30" s="125">
        <f>+F27*F25</f>
        <v>0.38750000000000001</v>
      </c>
      <c r="G30" s="31"/>
      <c r="H30" s="125">
        <f>+H27*H25</f>
        <v>0.38750000000000001</v>
      </c>
      <c r="I30" s="26"/>
      <c r="J30" s="125">
        <f>+J27*J25</f>
        <v>0.38750000000000001</v>
      </c>
      <c r="K30" s="32"/>
      <c r="L30" s="125">
        <f>+L27*L25</f>
        <v>0.38750000000000001</v>
      </c>
      <c r="M30" s="41"/>
      <c r="N30" s="125">
        <f>+N27*N25</f>
        <v>0.38750000000000001</v>
      </c>
      <c r="O30" s="41"/>
      <c r="P30" s="125">
        <f>+P27*P25</f>
        <v>0.38750000000000001</v>
      </c>
      <c r="Q30" s="31"/>
      <c r="R30" s="125">
        <f>+R27*R25</f>
        <v>0.38750000000000001</v>
      </c>
      <c r="S30" s="41"/>
      <c r="T30" s="125">
        <f>+T27*T25</f>
        <v>0.38750000000000001</v>
      </c>
      <c r="U30" s="41"/>
      <c r="V30" s="125">
        <f>+V27*V25</f>
        <v>0.38750000000000001</v>
      </c>
      <c r="X30" s="21"/>
    </row>
    <row r="31" spans="3:24" ht="15" customHeight="1" x14ac:dyDescent="0.2">
      <c r="D31" s="21"/>
      <c r="E31" s="22"/>
      <c r="F31" s="26"/>
      <c r="G31" s="31"/>
      <c r="H31" s="26"/>
      <c r="I31" s="26"/>
      <c r="J31" s="26"/>
      <c r="K31" s="32"/>
      <c r="L31" s="26"/>
      <c r="M31" s="31"/>
      <c r="N31" s="26"/>
      <c r="O31" s="26"/>
      <c r="P31" s="26"/>
      <c r="Q31" s="31"/>
      <c r="R31" s="26"/>
      <c r="S31" s="31"/>
      <c r="T31" s="26"/>
      <c r="U31" s="26"/>
      <c r="V31" s="26"/>
    </row>
    <row r="32" spans="3:24" ht="15" customHeight="1" x14ac:dyDescent="0.2">
      <c r="C32" s="92" t="s">
        <v>24</v>
      </c>
      <c r="D32" s="21" t="s">
        <v>11</v>
      </c>
      <c r="E32" s="39" t="s">
        <v>0</v>
      </c>
      <c r="F32" s="27">
        <f>+F$22*F29</f>
        <v>184.86046656634159</v>
      </c>
      <c r="G32" s="31"/>
      <c r="H32" s="27">
        <f>+H$22*H29</f>
        <v>229.86046656634159</v>
      </c>
      <c r="I32" s="26"/>
      <c r="J32" s="27">
        <f>+J$22*J29</f>
        <v>274.86046656634159</v>
      </c>
      <c r="K32" s="32"/>
      <c r="L32" s="27">
        <f>+L$22*L29</f>
        <v>181.8027470688742</v>
      </c>
      <c r="M32" s="31"/>
      <c r="N32" s="27">
        <f>+N$22*N29</f>
        <v>226.8027470688742</v>
      </c>
      <c r="O32" s="26"/>
      <c r="P32" s="27">
        <f>+P$22*P29</f>
        <v>271.80274706887423</v>
      </c>
      <c r="Q32" s="31"/>
      <c r="R32" s="27">
        <f>+R$22*R29</f>
        <v>186.67967234827941</v>
      </c>
      <c r="S32" s="31"/>
      <c r="T32" s="27">
        <f>+T$22*T29</f>
        <v>231.67967234827941</v>
      </c>
      <c r="U32" s="26"/>
      <c r="V32" s="27">
        <f>+V$22*V29</f>
        <v>276.67967234827944</v>
      </c>
      <c r="X32" s="48" t="s">
        <v>97</v>
      </c>
    </row>
    <row r="33" spans="2:24" ht="15" customHeight="1" x14ac:dyDescent="0.2">
      <c r="C33" s="92" t="s">
        <v>25</v>
      </c>
      <c r="D33" s="21" t="s">
        <v>12</v>
      </c>
      <c r="E33" s="39" t="s">
        <v>0</v>
      </c>
      <c r="F33" s="27">
        <f>+F$22*F30</f>
        <v>636.7416070618433</v>
      </c>
      <c r="G33" s="31"/>
      <c r="H33" s="27">
        <f>+H$22*H30</f>
        <v>791.7416070618433</v>
      </c>
      <c r="I33" s="26"/>
      <c r="J33" s="27">
        <f>+J$22*J30</f>
        <v>946.7416070618433</v>
      </c>
      <c r="K33" s="32"/>
      <c r="L33" s="27">
        <f>+L$22*L30</f>
        <v>626.20946212612228</v>
      </c>
      <c r="M33" s="31"/>
      <c r="N33" s="27">
        <f>+N$22*N30</f>
        <v>781.20946212612228</v>
      </c>
      <c r="O33" s="26"/>
      <c r="P33" s="27">
        <f>+P$22*P30</f>
        <v>936.20946212612239</v>
      </c>
      <c r="Q33" s="31"/>
      <c r="R33" s="27">
        <f>+R$22*R30</f>
        <v>643.0077603107402</v>
      </c>
      <c r="S33" s="31"/>
      <c r="T33" s="27">
        <f>+T$22*T30</f>
        <v>798.0077603107402</v>
      </c>
      <c r="U33" s="26"/>
      <c r="V33" s="27">
        <f>+V$22*V30</f>
        <v>953.0077603107402</v>
      </c>
      <c r="X33" s="48" t="s">
        <v>100</v>
      </c>
    </row>
    <row r="34" spans="2:24" ht="15" customHeight="1" x14ac:dyDescent="0.2">
      <c r="D34" s="21"/>
      <c r="E34" s="22"/>
      <c r="F34" s="26"/>
      <c r="G34" s="31"/>
      <c r="H34" s="26"/>
      <c r="I34" s="26"/>
      <c r="J34" s="26"/>
      <c r="K34" s="32"/>
      <c r="L34" s="26"/>
      <c r="M34" s="31"/>
      <c r="N34" s="26"/>
      <c r="O34" s="26"/>
      <c r="P34" s="26"/>
      <c r="Q34" s="31"/>
      <c r="R34" s="26"/>
      <c r="S34" s="31"/>
      <c r="T34" s="26"/>
      <c r="U34" s="26"/>
      <c r="V34" s="26"/>
    </row>
    <row r="35" spans="2:24" ht="15" customHeight="1" x14ac:dyDescent="0.2">
      <c r="C35" s="92" t="s">
        <v>26</v>
      </c>
      <c r="D35" s="21" t="s">
        <v>56</v>
      </c>
      <c r="E35" s="39" t="s">
        <v>3</v>
      </c>
      <c r="F35" s="95">
        <v>44519</v>
      </c>
      <c r="G35" s="96"/>
      <c r="H35" s="97">
        <f>+F35</f>
        <v>44519</v>
      </c>
      <c r="I35" s="95"/>
      <c r="J35" s="97">
        <f>+H35</f>
        <v>44519</v>
      </c>
      <c r="K35" s="98"/>
      <c r="L35" s="97">
        <f>+J35</f>
        <v>44519</v>
      </c>
      <c r="M35" s="95"/>
      <c r="N35" s="97">
        <f>+L35</f>
        <v>44519</v>
      </c>
      <c r="O35" s="95"/>
      <c r="P35" s="97">
        <f>+N35</f>
        <v>44519</v>
      </c>
      <c r="Q35" s="95"/>
      <c r="R35" s="97">
        <f>+P35</f>
        <v>44519</v>
      </c>
      <c r="S35" s="96"/>
      <c r="T35" s="97">
        <f>+R35</f>
        <v>44519</v>
      </c>
      <c r="U35" s="95"/>
      <c r="V35" s="97">
        <f>+T35</f>
        <v>44519</v>
      </c>
      <c r="X35" s="21"/>
    </row>
    <row r="36" spans="2:24" ht="15" customHeight="1" x14ac:dyDescent="0.2">
      <c r="C36" s="92" t="s">
        <v>27</v>
      </c>
      <c r="D36" s="21" t="s">
        <v>13</v>
      </c>
      <c r="E36" s="39" t="s">
        <v>3</v>
      </c>
      <c r="F36" s="95">
        <v>45657</v>
      </c>
      <c r="G36" s="96"/>
      <c r="H36" s="97">
        <f>+F36</f>
        <v>45657</v>
      </c>
      <c r="I36" s="95"/>
      <c r="J36" s="97">
        <f>+H36</f>
        <v>45657</v>
      </c>
      <c r="K36" s="98"/>
      <c r="L36" s="95">
        <v>46022</v>
      </c>
      <c r="M36" s="96"/>
      <c r="N36" s="97">
        <f>+L36</f>
        <v>46022</v>
      </c>
      <c r="O36" s="95"/>
      <c r="P36" s="97">
        <f>+N36</f>
        <v>46022</v>
      </c>
      <c r="Q36" s="96"/>
      <c r="R36" s="95">
        <v>46387</v>
      </c>
      <c r="S36" s="96"/>
      <c r="T36" s="97">
        <f>+R36</f>
        <v>46387</v>
      </c>
      <c r="U36" s="95"/>
      <c r="V36" s="97">
        <f>+T36</f>
        <v>46387</v>
      </c>
      <c r="X36" s="21"/>
    </row>
    <row r="37" spans="2:24" ht="15" customHeight="1" x14ac:dyDescent="0.2">
      <c r="C37" s="92" t="s">
        <v>31</v>
      </c>
      <c r="D37" s="21" t="s">
        <v>52</v>
      </c>
      <c r="E37" s="39" t="s">
        <v>0</v>
      </c>
      <c r="F37" s="26">
        <v>481.959</v>
      </c>
      <c r="G37" s="31"/>
      <c r="H37" s="27">
        <f>+F37</f>
        <v>481.959</v>
      </c>
      <c r="I37" s="26"/>
      <c r="J37" s="27">
        <f>+H37</f>
        <v>481.959</v>
      </c>
      <c r="K37" s="32"/>
      <c r="L37" s="27">
        <f>+J37</f>
        <v>481.959</v>
      </c>
      <c r="M37" s="26"/>
      <c r="N37" s="27">
        <f>+L37</f>
        <v>481.959</v>
      </c>
      <c r="O37" s="26"/>
      <c r="P37" s="27">
        <f>+N37</f>
        <v>481.959</v>
      </c>
      <c r="Q37" s="26"/>
      <c r="R37" s="27">
        <f>+P37</f>
        <v>481.959</v>
      </c>
      <c r="S37" s="31"/>
      <c r="T37" s="27">
        <f>+R37</f>
        <v>481.959</v>
      </c>
      <c r="U37" s="26"/>
      <c r="V37" s="27">
        <f>+T37</f>
        <v>481.959</v>
      </c>
      <c r="X37" s="21" t="s">
        <v>30</v>
      </c>
    </row>
    <row r="38" spans="2:24" ht="15" customHeight="1" x14ac:dyDescent="0.2">
      <c r="C38" s="92" t="s">
        <v>32</v>
      </c>
      <c r="D38" s="21" t="s">
        <v>14</v>
      </c>
      <c r="E38" s="39" t="s">
        <v>1</v>
      </c>
      <c r="F38" s="28">
        <v>0.15</v>
      </c>
      <c r="G38" s="31"/>
      <c r="H38" s="40">
        <f>+F38</f>
        <v>0.15</v>
      </c>
      <c r="I38" s="26"/>
      <c r="J38" s="40">
        <f>+H38</f>
        <v>0.15</v>
      </c>
      <c r="K38" s="32"/>
      <c r="L38" s="40">
        <f>+J38</f>
        <v>0.15</v>
      </c>
      <c r="M38" s="26"/>
      <c r="N38" s="40">
        <f>+L38</f>
        <v>0.15</v>
      </c>
      <c r="O38" s="26"/>
      <c r="P38" s="40">
        <f>+N38</f>
        <v>0.15</v>
      </c>
      <c r="Q38" s="26"/>
      <c r="R38" s="40">
        <f>+P38</f>
        <v>0.15</v>
      </c>
      <c r="S38" s="31"/>
      <c r="T38" s="40">
        <f>+R38</f>
        <v>0.15</v>
      </c>
      <c r="U38" s="26"/>
      <c r="V38" s="40">
        <f>+T38</f>
        <v>0.15</v>
      </c>
      <c r="X38" s="21"/>
    </row>
    <row r="39" spans="2:24" ht="24.95" customHeight="1" x14ac:dyDescent="0.2">
      <c r="C39" s="22" t="s">
        <v>33</v>
      </c>
      <c r="D39" s="21" t="s">
        <v>108</v>
      </c>
      <c r="E39" s="39" t="s">
        <v>0</v>
      </c>
      <c r="F39" s="110">
        <f>+IRR!E7</f>
        <v>697.83600000000001</v>
      </c>
      <c r="G39" s="31"/>
      <c r="H39" s="27">
        <f>+F39</f>
        <v>697.83600000000001</v>
      </c>
      <c r="I39" s="26"/>
      <c r="J39" s="27">
        <f>+F39</f>
        <v>697.83600000000001</v>
      </c>
      <c r="K39" s="32"/>
      <c r="L39" s="110">
        <f>+IRR!J7</f>
        <v>802.51179999999999</v>
      </c>
      <c r="M39" s="31"/>
      <c r="N39" s="27">
        <f>+L39</f>
        <v>802.51179999999999</v>
      </c>
      <c r="O39" s="26"/>
      <c r="P39" s="27">
        <f>+N39</f>
        <v>802.51179999999999</v>
      </c>
      <c r="Q39" s="31"/>
      <c r="R39" s="110">
        <f>+IRR!O7</f>
        <v>922.8886</v>
      </c>
      <c r="S39" s="31"/>
      <c r="T39" s="27">
        <f>+R39</f>
        <v>922.8886</v>
      </c>
      <c r="U39" s="26"/>
      <c r="V39" s="27">
        <f>+T39</f>
        <v>922.8886</v>
      </c>
      <c r="X39" s="155" t="s">
        <v>118</v>
      </c>
    </row>
    <row r="40" spans="2:24" s="143" customFormat="1" ht="15" customHeight="1" x14ac:dyDescent="0.2">
      <c r="B40" s="144"/>
      <c r="C40" s="145" t="s">
        <v>110</v>
      </c>
      <c r="D40" s="149" t="s">
        <v>112</v>
      </c>
      <c r="E40" s="39" t="s">
        <v>0</v>
      </c>
      <c r="F40" s="150">
        <f>+F39/F30</f>
        <v>1800.8670967741934</v>
      </c>
      <c r="G40" s="150"/>
      <c r="H40" s="150">
        <f>+H39/H30</f>
        <v>1800.8670967741934</v>
      </c>
      <c r="I40" s="147"/>
      <c r="J40" s="150">
        <f>+J39/J30</f>
        <v>1800.8670967741934</v>
      </c>
      <c r="K40" s="148"/>
      <c r="L40" s="150">
        <f>+L39/L30</f>
        <v>2070.998193548387</v>
      </c>
      <c r="M40" s="146"/>
      <c r="N40" s="150">
        <f>+N39/N30</f>
        <v>2070.998193548387</v>
      </c>
      <c r="O40" s="147"/>
      <c r="P40" s="150">
        <f>+P39/P30</f>
        <v>2070.998193548387</v>
      </c>
      <c r="Q40" s="146"/>
      <c r="R40" s="150">
        <f>+R39/R30</f>
        <v>2381.6480000000001</v>
      </c>
      <c r="S40" s="146"/>
      <c r="T40" s="150">
        <f>+T39/T30</f>
        <v>2381.6480000000001</v>
      </c>
      <c r="U40" s="147"/>
      <c r="V40" s="150">
        <f>+V39/V30</f>
        <v>2381.6480000000001</v>
      </c>
      <c r="X40" s="48" t="s">
        <v>111</v>
      </c>
    </row>
    <row r="41" spans="2:24" ht="15" customHeight="1" x14ac:dyDescent="0.2">
      <c r="D41" s="21"/>
      <c r="E41" s="22"/>
      <c r="F41" s="26"/>
      <c r="G41" s="31"/>
      <c r="H41" s="26"/>
      <c r="I41" s="26"/>
      <c r="J41" s="26"/>
      <c r="K41" s="32"/>
      <c r="L41" s="26"/>
      <c r="M41" s="31"/>
      <c r="N41" s="26"/>
      <c r="O41" s="26"/>
      <c r="P41" s="26"/>
      <c r="Q41" s="31"/>
      <c r="R41" s="26"/>
      <c r="S41" s="31"/>
      <c r="T41" s="26"/>
      <c r="U41" s="26"/>
      <c r="V41" s="26"/>
    </row>
    <row r="42" spans="2:24" ht="15" customHeight="1" x14ac:dyDescent="0.2">
      <c r="C42" s="92" t="s">
        <v>34</v>
      </c>
      <c r="D42" s="42" t="s">
        <v>12</v>
      </c>
      <c r="E42" s="43" t="s">
        <v>0</v>
      </c>
      <c r="F42" s="51">
        <f>+F33</f>
        <v>636.7416070618433</v>
      </c>
      <c r="G42" s="52"/>
      <c r="H42" s="51">
        <f>+H33</f>
        <v>791.7416070618433</v>
      </c>
      <c r="I42" s="53"/>
      <c r="J42" s="51">
        <f>+J33</f>
        <v>946.7416070618433</v>
      </c>
      <c r="K42" s="54"/>
      <c r="L42" s="51">
        <f>+L33</f>
        <v>626.20946212612228</v>
      </c>
      <c r="M42" s="52"/>
      <c r="N42" s="51">
        <f>+N33</f>
        <v>781.20946212612228</v>
      </c>
      <c r="O42" s="53"/>
      <c r="P42" s="51">
        <f>+P33</f>
        <v>936.20946212612239</v>
      </c>
      <c r="Q42" s="52"/>
      <c r="R42" s="51">
        <f>+R33</f>
        <v>643.0077603107402</v>
      </c>
      <c r="S42" s="52"/>
      <c r="T42" s="51">
        <f>+T33</f>
        <v>798.0077603107402</v>
      </c>
      <c r="U42" s="53"/>
      <c r="V42" s="55">
        <f>+V33</f>
        <v>953.0077603107402</v>
      </c>
    </row>
    <row r="43" spans="2:24" ht="15" customHeight="1" x14ac:dyDescent="0.2">
      <c r="C43" s="92" t="s">
        <v>35</v>
      </c>
      <c r="D43" s="44" t="s">
        <v>53</v>
      </c>
      <c r="E43" s="45" t="s">
        <v>0</v>
      </c>
      <c r="F43" s="56">
        <f>-F39</f>
        <v>-697.83600000000001</v>
      </c>
      <c r="G43" s="57"/>
      <c r="H43" s="56">
        <f>-H39</f>
        <v>-697.83600000000001</v>
      </c>
      <c r="I43" s="58"/>
      <c r="J43" s="56">
        <f>-J39</f>
        <v>-697.83600000000001</v>
      </c>
      <c r="K43" s="59"/>
      <c r="L43" s="56">
        <f>-L39</f>
        <v>-802.51179999999999</v>
      </c>
      <c r="M43" s="57"/>
      <c r="N43" s="56">
        <f>-N39</f>
        <v>-802.51179999999999</v>
      </c>
      <c r="O43" s="58"/>
      <c r="P43" s="56">
        <f>-P39</f>
        <v>-802.51179999999999</v>
      </c>
      <c r="Q43" s="57"/>
      <c r="R43" s="56">
        <f>-R39</f>
        <v>-922.8886</v>
      </c>
      <c r="S43" s="57"/>
      <c r="T43" s="56">
        <f>-T39</f>
        <v>-922.8886</v>
      </c>
      <c r="U43" s="58"/>
      <c r="V43" s="60">
        <f>-V39</f>
        <v>-922.8886</v>
      </c>
    </row>
    <row r="44" spans="2:24" ht="15" customHeight="1" x14ac:dyDescent="0.2">
      <c r="C44" s="91" t="s">
        <v>36</v>
      </c>
      <c r="D44" s="46" t="s">
        <v>88</v>
      </c>
      <c r="E44" s="47" t="s">
        <v>0</v>
      </c>
      <c r="F44" s="61">
        <f>+MAX(SUM(F42:F43),0)</f>
        <v>0</v>
      </c>
      <c r="G44" s="62"/>
      <c r="H44" s="61">
        <f>+MAX(SUM(H42:H43),0)</f>
        <v>93.905607061843284</v>
      </c>
      <c r="I44" s="61"/>
      <c r="J44" s="61">
        <f>+MAX(SUM(J42:J43),0)</f>
        <v>248.90560706184328</v>
      </c>
      <c r="K44" s="63"/>
      <c r="L44" s="61">
        <f>+MAX(SUM(L42:L43),0)</f>
        <v>0</v>
      </c>
      <c r="M44" s="62"/>
      <c r="N44" s="61">
        <f>+MAX(SUM(N42:N43),0)</f>
        <v>0</v>
      </c>
      <c r="O44" s="61"/>
      <c r="P44" s="61">
        <f>+MAX(SUM(P42:P43),0)</f>
        <v>133.6976621261224</v>
      </c>
      <c r="Q44" s="62"/>
      <c r="R44" s="61">
        <f>+MAX(SUM(R42:R43),0)</f>
        <v>0</v>
      </c>
      <c r="S44" s="62"/>
      <c r="T44" s="61">
        <f>+MAX(SUM(T42:T43),0)</f>
        <v>0</v>
      </c>
      <c r="U44" s="61"/>
      <c r="V44" s="64">
        <f>+MAX(SUM(V42:V43),0)</f>
        <v>30.119160310740199</v>
      </c>
      <c r="X44" s="48" t="s">
        <v>116</v>
      </c>
    </row>
    <row r="45" spans="2:24" ht="15" customHeight="1" x14ac:dyDescent="0.2">
      <c r="D45" s="21"/>
      <c r="E45" s="22"/>
      <c r="F45" s="26"/>
      <c r="G45" s="31"/>
      <c r="H45" s="26"/>
      <c r="I45" s="26"/>
      <c r="J45" s="26"/>
      <c r="K45" s="32"/>
      <c r="L45" s="26"/>
      <c r="M45" s="31"/>
      <c r="N45" s="26"/>
      <c r="O45" s="26"/>
      <c r="P45" s="26"/>
      <c r="Q45" s="31"/>
      <c r="R45" s="26"/>
      <c r="S45" s="31"/>
      <c r="T45" s="26"/>
      <c r="U45" s="26"/>
      <c r="V45" s="26"/>
    </row>
    <row r="46" spans="2:24" ht="15" customHeight="1" x14ac:dyDescent="0.2">
      <c r="C46" s="92" t="s">
        <v>37</v>
      </c>
      <c r="D46" s="21" t="s">
        <v>49</v>
      </c>
      <c r="E46" s="39" t="s">
        <v>1</v>
      </c>
      <c r="F46" s="28">
        <v>0.6</v>
      </c>
      <c r="G46" s="31"/>
      <c r="H46" s="40">
        <f>+F46</f>
        <v>0.6</v>
      </c>
      <c r="I46" s="26"/>
      <c r="J46" s="40">
        <f>+H46</f>
        <v>0.6</v>
      </c>
      <c r="K46" s="32"/>
      <c r="L46" s="40">
        <f>+J46</f>
        <v>0.6</v>
      </c>
      <c r="M46" s="31"/>
      <c r="N46" s="40">
        <f>+L46</f>
        <v>0.6</v>
      </c>
      <c r="O46" s="26"/>
      <c r="P46" s="40">
        <f>+N46</f>
        <v>0.6</v>
      </c>
      <c r="Q46" s="31"/>
      <c r="R46" s="40">
        <f>+P46</f>
        <v>0.6</v>
      </c>
      <c r="S46" s="31"/>
      <c r="T46" s="40">
        <f>+R46</f>
        <v>0.6</v>
      </c>
      <c r="U46" s="26"/>
      <c r="V46" s="40">
        <f>+T46</f>
        <v>0.6</v>
      </c>
      <c r="X46" s="21"/>
    </row>
    <row r="47" spans="2:24" ht="15" customHeight="1" x14ac:dyDescent="0.2">
      <c r="C47" s="92" t="s">
        <v>38</v>
      </c>
      <c r="D47" s="21" t="s">
        <v>50</v>
      </c>
      <c r="E47" s="39" t="s">
        <v>1</v>
      </c>
      <c r="F47" s="28">
        <v>0.4</v>
      </c>
      <c r="G47" s="31"/>
      <c r="H47" s="40">
        <f>+F47</f>
        <v>0.4</v>
      </c>
      <c r="I47" s="26"/>
      <c r="J47" s="40">
        <f>+H47</f>
        <v>0.4</v>
      </c>
      <c r="K47" s="32"/>
      <c r="L47" s="40">
        <f>+J47</f>
        <v>0.4</v>
      </c>
      <c r="M47" s="31"/>
      <c r="N47" s="40">
        <f>+L47</f>
        <v>0.4</v>
      </c>
      <c r="O47" s="26"/>
      <c r="P47" s="40">
        <f>+N47</f>
        <v>0.4</v>
      </c>
      <c r="Q47" s="31"/>
      <c r="R47" s="40">
        <f>+P47</f>
        <v>0.4</v>
      </c>
      <c r="S47" s="31"/>
      <c r="T47" s="40">
        <f>+R47</f>
        <v>0.4</v>
      </c>
      <c r="U47" s="26"/>
      <c r="V47" s="40">
        <f>+T47</f>
        <v>0.4</v>
      </c>
      <c r="X47" s="21"/>
    </row>
    <row r="48" spans="2:24" ht="15" customHeight="1" x14ac:dyDescent="0.2">
      <c r="D48" s="21"/>
      <c r="E48" s="22"/>
      <c r="F48" s="26"/>
      <c r="G48" s="31"/>
      <c r="H48" s="26"/>
      <c r="I48" s="26"/>
      <c r="J48" s="26"/>
      <c r="K48" s="32"/>
      <c r="L48" s="26"/>
      <c r="M48" s="31"/>
      <c r="N48" s="26"/>
      <c r="O48" s="26"/>
      <c r="P48" s="26"/>
      <c r="Q48" s="31"/>
      <c r="R48" s="26"/>
      <c r="S48" s="31"/>
      <c r="T48" s="26"/>
      <c r="U48" s="26"/>
      <c r="V48" s="26"/>
    </row>
    <row r="49" spans="1:24" ht="15" customHeight="1" x14ac:dyDescent="0.2">
      <c r="C49" s="92" t="s">
        <v>39</v>
      </c>
      <c r="D49" s="21" t="s">
        <v>49</v>
      </c>
      <c r="E49" s="39" t="s">
        <v>0</v>
      </c>
      <c r="F49" s="65">
        <f>+F46*F$44</f>
        <v>0</v>
      </c>
      <c r="G49" s="66"/>
      <c r="H49" s="65">
        <f>+H46*H$44</f>
        <v>56.343364237105966</v>
      </c>
      <c r="I49" s="67"/>
      <c r="J49" s="65">
        <f>+J46*J$44</f>
        <v>149.34336423710596</v>
      </c>
      <c r="K49" s="68"/>
      <c r="L49" s="65">
        <f>+L46*L$44</f>
        <v>0</v>
      </c>
      <c r="M49" s="66"/>
      <c r="N49" s="65">
        <f>+N46*N$44</f>
        <v>0</v>
      </c>
      <c r="O49" s="67"/>
      <c r="P49" s="65">
        <f>+P46*P$44</f>
        <v>80.218597275673432</v>
      </c>
      <c r="Q49" s="66"/>
      <c r="R49" s="65">
        <f>+R46*R$44</f>
        <v>0</v>
      </c>
      <c r="S49" s="66"/>
      <c r="T49" s="65">
        <f>+T46*T$44</f>
        <v>0</v>
      </c>
      <c r="U49" s="67"/>
      <c r="V49" s="65">
        <f>+V46*V$44</f>
        <v>18.071496186444119</v>
      </c>
      <c r="X49" s="48" t="s">
        <v>42</v>
      </c>
    </row>
    <row r="50" spans="1:24" ht="15" customHeight="1" x14ac:dyDescent="0.2">
      <c r="A50" s="119"/>
      <c r="C50" s="92" t="s">
        <v>40</v>
      </c>
      <c r="D50" s="126" t="s">
        <v>109</v>
      </c>
      <c r="E50" s="127" t="s">
        <v>0</v>
      </c>
      <c r="F50" s="128">
        <f>+F47*F$44</f>
        <v>0</v>
      </c>
      <c r="G50" s="129"/>
      <c r="H50" s="128">
        <f>+H47*H$44</f>
        <v>37.562242824737318</v>
      </c>
      <c r="I50" s="130"/>
      <c r="J50" s="128">
        <f>+J47*J$44</f>
        <v>99.562242824737325</v>
      </c>
      <c r="K50" s="131"/>
      <c r="L50" s="128">
        <f>+L47*L$44</f>
        <v>0</v>
      </c>
      <c r="M50" s="129"/>
      <c r="N50" s="128">
        <f>+N47*N$44</f>
        <v>0</v>
      </c>
      <c r="O50" s="130"/>
      <c r="P50" s="128">
        <f>+P47*P$44</f>
        <v>53.479064850448964</v>
      </c>
      <c r="Q50" s="129"/>
      <c r="R50" s="128">
        <f>+R47*R$44</f>
        <v>0</v>
      </c>
      <c r="S50" s="129"/>
      <c r="T50" s="128">
        <f>+T47*T$44</f>
        <v>0</v>
      </c>
      <c r="U50" s="130"/>
      <c r="V50" s="132">
        <f>+V47*V$44</f>
        <v>12.04766412429608</v>
      </c>
      <c r="X50" s="48" t="s">
        <v>43</v>
      </c>
    </row>
    <row r="51" spans="1:24" ht="15" customHeight="1" x14ac:dyDescent="0.2">
      <c r="C51" s="93"/>
      <c r="D51" s="21"/>
      <c r="E51" s="22"/>
      <c r="F51" s="26"/>
      <c r="G51" s="31"/>
      <c r="H51" s="26"/>
      <c r="I51" s="26"/>
      <c r="J51" s="26"/>
      <c r="K51" s="32"/>
      <c r="L51" s="26"/>
      <c r="M51" s="31"/>
      <c r="N51" s="26"/>
      <c r="O51" s="26"/>
      <c r="P51" s="26"/>
      <c r="Q51" s="31"/>
      <c r="R51" s="26"/>
      <c r="S51" s="31"/>
      <c r="T51" s="26"/>
      <c r="U51" s="26"/>
      <c r="V51" s="26"/>
    </row>
    <row r="52" spans="1:24" ht="15" customHeight="1" x14ac:dyDescent="0.2">
      <c r="C52" s="91" t="s">
        <v>41</v>
      </c>
      <c r="D52" s="69" t="s">
        <v>51</v>
      </c>
      <c r="E52" s="70" t="s">
        <v>0</v>
      </c>
      <c r="F52" s="71">
        <f>+F32</f>
        <v>184.86046656634159</v>
      </c>
      <c r="G52" s="72"/>
      <c r="H52" s="71">
        <f>+H32</f>
        <v>229.86046656634159</v>
      </c>
      <c r="I52" s="73"/>
      <c r="J52" s="71">
        <f>+J32</f>
        <v>274.86046656634159</v>
      </c>
      <c r="K52" s="74"/>
      <c r="L52" s="71">
        <f>+L32</f>
        <v>181.8027470688742</v>
      </c>
      <c r="M52" s="72"/>
      <c r="N52" s="71">
        <f>+N32</f>
        <v>226.8027470688742</v>
      </c>
      <c r="O52" s="73"/>
      <c r="P52" s="71">
        <f>+P32</f>
        <v>271.80274706887423</v>
      </c>
      <c r="Q52" s="72"/>
      <c r="R52" s="71">
        <f>+R32</f>
        <v>186.67967234827941</v>
      </c>
      <c r="S52" s="72"/>
      <c r="T52" s="71">
        <f>+T32</f>
        <v>231.67967234827941</v>
      </c>
      <c r="U52" s="73"/>
      <c r="V52" s="75">
        <f>+V32</f>
        <v>276.67967234827944</v>
      </c>
      <c r="X52" s="21"/>
    </row>
    <row r="53" spans="1:24" ht="15" customHeight="1" x14ac:dyDescent="0.2">
      <c r="C53" s="91" t="s">
        <v>98</v>
      </c>
      <c r="D53" s="76" t="s">
        <v>54</v>
      </c>
      <c r="E53" s="77" t="s">
        <v>0</v>
      </c>
      <c r="F53" s="78">
        <f>+F42-F54</f>
        <v>636.7416070618433</v>
      </c>
      <c r="G53" s="79"/>
      <c r="H53" s="78">
        <f>+H42-H54</f>
        <v>754.17936423710603</v>
      </c>
      <c r="I53" s="80"/>
      <c r="J53" s="78">
        <f>+J42-J54</f>
        <v>847.17936423710603</v>
      </c>
      <c r="K53" s="81"/>
      <c r="L53" s="78">
        <f>+L42-L54</f>
        <v>626.20946212612228</v>
      </c>
      <c r="M53" s="79"/>
      <c r="N53" s="78">
        <f>+N42-N54</f>
        <v>781.20946212612228</v>
      </c>
      <c r="O53" s="80"/>
      <c r="P53" s="78">
        <f>+P42-P54</f>
        <v>882.73039727567345</v>
      </c>
      <c r="Q53" s="79"/>
      <c r="R53" s="78">
        <f>+R42-R54</f>
        <v>643.0077603107402</v>
      </c>
      <c r="S53" s="79"/>
      <c r="T53" s="78">
        <f>+T42-T54</f>
        <v>798.0077603107402</v>
      </c>
      <c r="U53" s="80"/>
      <c r="V53" s="82">
        <f>+V42-V54</f>
        <v>940.96009618644416</v>
      </c>
      <c r="X53" s="48" t="s">
        <v>101</v>
      </c>
    </row>
    <row r="54" spans="1:24" ht="15" customHeight="1" x14ac:dyDescent="0.2">
      <c r="C54" s="91" t="s">
        <v>99</v>
      </c>
      <c r="D54" s="83" t="s">
        <v>104</v>
      </c>
      <c r="E54" s="84" t="s">
        <v>0</v>
      </c>
      <c r="F54" s="85">
        <f>+F50</f>
        <v>0</v>
      </c>
      <c r="G54" s="86"/>
      <c r="H54" s="85">
        <f>+H50</f>
        <v>37.562242824737318</v>
      </c>
      <c r="I54" s="87"/>
      <c r="J54" s="85">
        <f>+J50</f>
        <v>99.562242824737325</v>
      </c>
      <c r="K54" s="88"/>
      <c r="L54" s="85">
        <f>+L50</f>
        <v>0</v>
      </c>
      <c r="M54" s="86"/>
      <c r="N54" s="85">
        <f>+N50</f>
        <v>0</v>
      </c>
      <c r="O54" s="87"/>
      <c r="P54" s="85">
        <f>+P50</f>
        <v>53.479064850448964</v>
      </c>
      <c r="Q54" s="86"/>
      <c r="R54" s="85">
        <f>+R50</f>
        <v>0</v>
      </c>
      <c r="S54" s="86"/>
      <c r="T54" s="85">
        <f>+T50</f>
        <v>0</v>
      </c>
      <c r="U54" s="87"/>
      <c r="V54" s="89">
        <f>+V50</f>
        <v>12.04766412429608</v>
      </c>
      <c r="X54" s="21"/>
    </row>
    <row r="55" spans="1:24" ht="15" customHeight="1" x14ac:dyDescent="0.2">
      <c r="D55" s="21"/>
      <c r="E55" s="22"/>
      <c r="F55" s="26"/>
      <c r="G55" s="31"/>
      <c r="H55" s="26"/>
      <c r="I55" s="26"/>
      <c r="J55" s="26"/>
      <c r="K55" s="32"/>
      <c r="L55" s="26"/>
      <c r="M55" s="31"/>
      <c r="N55" s="26"/>
      <c r="O55" s="26"/>
      <c r="P55" s="26"/>
      <c r="Q55" s="31"/>
      <c r="R55" s="26"/>
      <c r="S55" s="31"/>
      <c r="T55" s="26"/>
      <c r="U55" s="26"/>
      <c r="V55" s="26"/>
    </row>
    <row r="56" spans="1:24" ht="15" customHeight="1" x14ac:dyDescent="0.2">
      <c r="D56" s="21" t="s">
        <v>45</v>
      </c>
      <c r="E56" s="22"/>
      <c r="F56" s="26"/>
      <c r="G56" s="31"/>
      <c r="H56" s="26"/>
      <c r="I56" s="26"/>
      <c r="J56" s="26"/>
      <c r="K56" s="32"/>
      <c r="L56" s="26"/>
      <c r="M56" s="31"/>
      <c r="N56" s="26"/>
      <c r="O56" s="26"/>
      <c r="P56" s="26"/>
      <c r="Q56" s="31"/>
      <c r="R56" s="26"/>
      <c r="S56" s="31"/>
      <c r="T56" s="26"/>
      <c r="U56" s="26"/>
      <c r="V56" s="26"/>
    </row>
    <row r="57" spans="1:24" ht="15" customHeight="1" x14ac:dyDescent="0.2">
      <c r="D57" s="94" t="s">
        <v>87</v>
      </c>
      <c r="E57" s="22"/>
      <c r="F57" s="26"/>
      <c r="G57" s="31"/>
      <c r="H57" s="26"/>
      <c r="I57" s="26"/>
      <c r="J57" s="26"/>
      <c r="K57" s="32"/>
      <c r="L57" s="26"/>
      <c r="M57" s="31"/>
      <c r="N57" s="26"/>
      <c r="O57" s="26"/>
      <c r="P57" s="26"/>
      <c r="Q57" s="31"/>
      <c r="R57" s="26"/>
      <c r="S57" s="31"/>
      <c r="T57" s="26"/>
      <c r="U57" s="26"/>
      <c r="V57" s="26"/>
    </row>
    <row r="58" spans="1:24" ht="15" customHeight="1" x14ac:dyDescent="0.2">
      <c r="D58" s="94" t="s">
        <v>86</v>
      </c>
      <c r="E58" s="22"/>
      <c r="F58" s="26"/>
      <c r="G58" s="31"/>
      <c r="H58" s="26"/>
      <c r="I58" s="26"/>
      <c r="J58" s="26"/>
      <c r="K58" s="32"/>
      <c r="L58" s="26"/>
      <c r="M58" s="31"/>
      <c r="N58" s="26"/>
      <c r="O58" s="26"/>
      <c r="P58" s="26"/>
      <c r="Q58" s="31"/>
      <c r="R58" s="26"/>
      <c r="S58" s="31"/>
      <c r="T58" s="26"/>
      <c r="U58" s="26"/>
      <c r="V58" s="26"/>
    </row>
    <row r="59" spans="1:24" ht="15" customHeight="1" x14ac:dyDescent="0.2">
      <c r="D59" s="21"/>
      <c r="E59" s="22"/>
      <c r="F59" s="26"/>
      <c r="G59" s="31"/>
      <c r="H59" s="26"/>
      <c r="I59" s="26"/>
      <c r="J59" s="26"/>
      <c r="K59" s="32"/>
      <c r="L59" s="26"/>
      <c r="M59" s="31"/>
      <c r="N59" s="26"/>
      <c r="O59" s="26"/>
      <c r="P59" s="26"/>
      <c r="Q59" s="31"/>
      <c r="R59" s="26"/>
      <c r="S59" s="31"/>
      <c r="T59" s="26"/>
      <c r="U59" s="26"/>
      <c r="V59" s="26"/>
    </row>
    <row r="60" spans="1:24" ht="15" customHeight="1" x14ac:dyDescent="0.2">
      <c r="D60" s="48" t="s">
        <v>2</v>
      </c>
      <c r="E60" s="49"/>
      <c r="F60" s="50">
        <f>+SUM(F52:F54)-F22*$E$8</f>
        <v>0</v>
      </c>
      <c r="G60" s="50"/>
      <c r="H60" s="50">
        <f>+SUM(H52:H54)-H22*$E$8</f>
        <v>0</v>
      </c>
      <c r="I60" s="50"/>
      <c r="J60" s="50">
        <f>+SUM(J52:J54)-J22*$E$8</f>
        <v>0</v>
      </c>
      <c r="K60" s="50"/>
      <c r="L60" s="50">
        <f>+SUM(L52:L54)-L22*$E$8</f>
        <v>0</v>
      </c>
      <c r="M60" s="50"/>
      <c r="N60" s="50">
        <f>+SUM(N52:N54)-N22*$E$8</f>
        <v>0</v>
      </c>
      <c r="O60" s="50"/>
      <c r="P60" s="50">
        <f>+SUM(P52:P54)-P22*$E$8</f>
        <v>0</v>
      </c>
      <c r="Q60" s="50"/>
      <c r="R60" s="50">
        <f>+SUM(R52:R54)-R22*$E$8</f>
        <v>0</v>
      </c>
      <c r="S60" s="50"/>
      <c r="T60" s="50">
        <f>+SUM(T52:T54)-T22*$E$8</f>
        <v>0</v>
      </c>
      <c r="U60" s="50"/>
      <c r="V60" s="50">
        <f>+SUM(V52:V54)-V22*$E$8</f>
        <v>0</v>
      </c>
    </row>
    <row r="61" spans="1:24" ht="15" customHeight="1" x14ac:dyDescent="0.2">
      <c r="D61" s="21"/>
      <c r="E61" s="22"/>
      <c r="F61" s="26"/>
      <c r="G61" s="31"/>
      <c r="H61" s="26"/>
      <c r="I61" s="26"/>
      <c r="J61" s="26"/>
      <c r="K61" s="32"/>
      <c r="L61" s="26"/>
      <c r="M61" s="31"/>
      <c r="N61" s="26"/>
      <c r="O61" s="26"/>
      <c r="P61" s="26"/>
      <c r="Q61" s="31"/>
      <c r="R61" s="26"/>
      <c r="S61" s="31"/>
      <c r="T61" s="26"/>
      <c r="U61" s="26"/>
      <c r="V61" s="26"/>
    </row>
    <row r="62" spans="1:24" ht="15" customHeight="1" x14ac:dyDescent="0.2">
      <c r="D62" s="21"/>
      <c r="E62" s="22"/>
      <c r="F62" s="26"/>
      <c r="G62" s="31"/>
      <c r="H62" s="26"/>
      <c r="I62" s="26"/>
      <c r="J62" s="26"/>
      <c r="K62" s="32"/>
      <c r="L62" s="26"/>
      <c r="M62" s="31"/>
      <c r="N62" s="26"/>
      <c r="O62" s="26"/>
      <c r="P62" s="26"/>
      <c r="Q62" s="31"/>
      <c r="R62" s="26"/>
      <c r="S62" s="31"/>
      <c r="T62" s="26"/>
      <c r="U62" s="26"/>
      <c r="V62" s="26"/>
    </row>
    <row r="63" spans="1:24" ht="15" customHeight="1" x14ac:dyDescent="0.2">
      <c r="D63" s="21"/>
      <c r="E63" s="22"/>
      <c r="F63" s="26"/>
      <c r="G63" s="31"/>
      <c r="H63" s="26"/>
      <c r="I63" s="26"/>
      <c r="J63" s="26"/>
      <c r="K63" s="32"/>
      <c r="L63" s="26"/>
      <c r="M63" s="31"/>
      <c r="N63" s="26"/>
      <c r="O63" s="26"/>
      <c r="P63" s="26"/>
      <c r="Q63" s="31"/>
      <c r="R63" s="26"/>
      <c r="S63" s="31"/>
      <c r="T63" s="26"/>
      <c r="U63" s="26"/>
      <c r="V63" s="26"/>
    </row>
  </sheetData>
  <sheetProtection algorithmName="SHA-512" hashValue="tqBwUI2/ZVKYjPqoCFyAX9KXEmBJAA/3w48Jgaigor1r9rHUhR4jwwW2OKdsP6Ok3PoPGxhk9rWxC/+NNhnSvg==" saltValue="tbVomOdBqsjsa2m4C/m6SQ==" spinCount="100000" sheet="1" objects="1" scenarios="1"/>
  <pageMargins left="0.25" right="0.25" top="0.75" bottom="0.75" header="0.3" footer="0.3"/>
  <pageSetup scale="43" orientation="landscape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AA0F59-905B-4506-BD59-96C4C5143BC6}">
  <sheetPr>
    <tabColor theme="2"/>
    <pageSetUpPr fitToPage="1"/>
  </sheetPr>
  <dimension ref="A1:X49"/>
  <sheetViews>
    <sheetView showGridLines="0" view="pageBreakPreview" zoomScale="85" zoomScaleNormal="85" zoomScaleSheetLayoutView="85" workbookViewId="0"/>
  </sheetViews>
  <sheetFormatPr defaultColWidth="9.5703125" defaultRowHeight="15" customHeight="1" x14ac:dyDescent="0.2"/>
  <cols>
    <col min="1" max="1" width="2.42578125" style="4" customWidth="1"/>
    <col min="2" max="3" width="3.5703125" style="7" customWidth="1"/>
    <col min="4" max="4" width="61.140625" style="5" bestFit="1" customWidth="1"/>
    <col min="5" max="5" width="12.42578125" style="4" customWidth="1"/>
    <col min="6" max="6" width="15.5703125" style="4" customWidth="1"/>
    <col min="7" max="7" width="1.5703125" style="4" customWidth="1"/>
    <col min="8" max="8" width="15.5703125" style="4" customWidth="1"/>
    <col min="9" max="9" width="1.5703125" style="4" customWidth="1"/>
    <col min="10" max="10" width="15.5703125" style="4" customWidth="1"/>
    <col min="11" max="11" width="1.5703125" style="4" customWidth="1"/>
    <col min="12" max="12" width="15.5703125" style="4" customWidth="1"/>
    <col min="13" max="13" width="1.5703125" style="4" customWidth="1"/>
    <col min="14" max="14" width="15.5703125" style="4" customWidth="1"/>
    <col min="15" max="15" width="1.5703125" style="4" customWidth="1"/>
    <col min="16" max="16" width="15.5703125" style="4" customWidth="1"/>
    <col min="17" max="17" width="1.5703125" style="4" customWidth="1"/>
    <col min="18" max="18" width="15.5703125" style="4" customWidth="1"/>
    <col min="19" max="19" width="1.5703125" style="4" customWidth="1"/>
    <col min="20" max="20" width="15.5703125" style="4" customWidth="1"/>
    <col min="21" max="21" width="1.5703125" style="4" customWidth="1"/>
    <col min="22" max="22" width="15.5703125" style="4" customWidth="1"/>
    <col min="23" max="23" width="1.85546875" style="4" customWidth="1"/>
    <col min="24" max="24" width="73.140625" style="4" bestFit="1" customWidth="1"/>
    <col min="25" max="25" width="3.140625" style="4" customWidth="1"/>
    <col min="26" max="16384" width="9.5703125" style="4"/>
  </cols>
  <sheetData>
    <row r="1" spans="1:24" ht="24.95" customHeight="1" thickBot="1" x14ac:dyDescent="0.25">
      <c r="A1" s="1" t="s">
        <v>15</v>
      </c>
      <c r="B1" s="2"/>
      <c r="C1" s="2"/>
      <c r="D1" s="2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</row>
    <row r="2" spans="1:24" ht="24.95" customHeight="1" x14ac:dyDescent="0.2">
      <c r="A2" s="8" t="str">
        <f ca="1">MID(CELL("filename",A1),FIND("]",CELL("filename",A1))+1,255)</f>
        <v>Warrants Worked Example</v>
      </c>
      <c r="B2" s="4"/>
      <c r="C2" s="4"/>
    </row>
    <row r="3" spans="1:24" ht="15" customHeight="1" thickBot="1" x14ac:dyDescent="0.25">
      <c r="B3" s="6"/>
      <c r="C3" s="6"/>
    </row>
    <row r="4" spans="1:24" ht="15" customHeight="1" thickBot="1" x14ac:dyDescent="0.25">
      <c r="B4" s="6"/>
      <c r="C4" s="6"/>
      <c r="F4" s="10" t="s">
        <v>6</v>
      </c>
      <c r="G4" s="10"/>
      <c r="H4" s="10"/>
      <c r="I4" s="10"/>
      <c r="J4" s="10"/>
      <c r="L4" s="10" t="s">
        <v>7</v>
      </c>
      <c r="M4" s="10"/>
      <c r="N4" s="10"/>
      <c r="O4" s="10"/>
      <c r="P4" s="10"/>
      <c r="R4" s="10" t="s">
        <v>8</v>
      </c>
      <c r="S4" s="10"/>
      <c r="T4" s="10"/>
      <c r="U4" s="10"/>
      <c r="V4" s="10"/>
      <c r="X4" s="90" t="s">
        <v>16</v>
      </c>
    </row>
    <row r="5" spans="1:24" ht="5.0999999999999996" customHeight="1" thickBot="1" x14ac:dyDescent="0.25">
      <c r="B5" s="6"/>
      <c r="C5" s="6"/>
    </row>
    <row r="6" spans="1:24" ht="15" customHeight="1" thickBot="1" x14ac:dyDescent="0.25">
      <c r="F6" s="11" t="s">
        <v>9</v>
      </c>
      <c r="H6" s="12" t="s">
        <v>47</v>
      </c>
      <c r="J6" s="13" t="s">
        <v>48</v>
      </c>
      <c r="L6" s="11" t="s">
        <v>9</v>
      </c>
      <c r="N6" s="12" t="s">
        <v>47</v>
      </c>
      <c r="P6" s="13" t="s">
        <v>48</v>
      </c>
      <c r="R6" s="11" t="s">
        <v>9</v>
      </c>
      <c r="T6" s="12" t="s">
        <v>47</v>
      </c>
      <c r="V6" s="13" t="s">
        <v>48</v>
      </c>
    </row>
    <row r="7" spans="1:24" ht="5.0999999999999996" customHeight="1" thickBot="1" x14ac:dyDescent="0.25">
      <c r="F7" s="9"/>
      <c r="H7" s="9"/>
      <c r="J7" s="9"/>
      <c r="K7" s="14"/>
      <c r="L7" s="9"/>
      <c r="N7" s="9"/>
      <c r="P7" s="9"/>
      <c r="R7" s="9"/>
      <c r="T7" s="9"/>
      <c r="V7" s="9"/>
    </row>
    <row r="8" spans="1:24" ht="15" customHeight="1" x14ac:dyDescent="0.2">
      <c r="C8" s="91" t="s">
        <v>18</v>
      </c>
      <c r="D8" s="15" t="s">
        <v>4</v>
      </c>
      <c r="E8" s="16" t="s">
        <v>0</v>
      </c>
      <c r="F8" s="17">
        <v>800</v>
      </c>
      <c r="G8" s="18"/>
      <c r="H8" s="17">
        <v>1200</v>
      </c>
      <c r="I8" s="19"/>
      <c r="J8" s="17">
        <v>1600</v>
      </c>
      <c r="K8" s="20"/>
      <c r="L8" s="17">
        <v>800</v>
      </c>
      <c r="M8" s="18"/>
      <c r="N8" s="17">
        <v>1200</v>
      </c>
      <c r="O8" s="19"/>
      <c r="P8" s="17">
        <v>1600</v>
      </c>
      <c r="Q8" s="18"/>
      <c r="R8" s="17">
        <v>800</v>
      </c>
      <c r="S8" s="18"/>
      <c r="T8" s="17">
        <v>1200</v>
      </c>
      <c r="U8" s="19"/>
      <c r="V8" s="17">
        <v>1600</v>
      </c>
    </row>
    <row r="9" spans="1:24" ht="15" customHeight="1" thickBot="1" x14ac:dyDescent="0.25">
      <c r="D9" s="21"/>
      <c r="E9" s="22"/>
      <c r="F9" s="23"/>
      <c r="H9" s="23"/>
      <c r="I9" s="24"/>
      <c r="J9" s="23"/>
      <c r="K9" s="25"/>
      <c r="L9" s="23"/>
      <c r="N9" s="23"/>
      <c r="O9" s="24"/>
      <c r="P9" s="23"/>
      <c r="R9" s="23"/>
      <c r="T9" s="23"/>
      <c r="U9" s="24"/>
      <c r="V9" s="23"/>
    </row>
    <row r="10" spans="1:24" ht="15" customHeight="1" thickBot="1" x14ac:dyDescent="0.25">
      <c r="C10" s="92" t="s">
        <v>19</v>
      </c>
      <c r="D10" s="21" t="s">
        <v>5</v>
      </c>
      <c r="E10" s="16" t="s">
        <v>0</v>
      </c>
      <c r="F10" s="110">
        <f t="array" ref="F10">-SUM(IF(F$22=Debt!$I$4:$AU$4,Debt!$I$42:$AU$42,0))</f>
        <v>-54.936946154797333</v>
      </c>
      <c r="G10" s="26"/>
      <c r="H10" s="27">
        <f>+F10</f>
        <v>-54.936946154797333</v>
      </c>
      <c r="I10" s="26"/>
      <c r="J10" s="27">
        <f>+F10</f>
        <v>-54.936946154797333</v>
      </c>
      <c r="K10" s="26"/>
      <c r="L10" s="110">
        <f t="array" ref="L10">-SUM(IF(L$22=Debt!$I$4:$AU$4,Debt!$I$42:$AU$42,0))</f>
        <v>-62.058925503086961</v>
      </c>
      <c r="M10" s="26"/>
      <c r="N10" s="27">
        <f>+L10</f>
        <v>-62.058925503086961</v>
      </c>
      <c r="O10" s="26"/>
      <c r="P10" s="27">
        <f>+L10</f>
        <v>-62.058925503086961</v>
      </c>
      <c r="Q10" s="26"/>
      <c r="R10" s="110">
        <f t="array" ref="R10">-SUM(IF(R$22=Debt!$I$4:$AU$4,Debt!$I$42:$AU$42,0))</f>
        <v>-78.296381446347752</v>
      </c>
      <c r="S10" s="26"/>
      <c r="T10" s="27">
        <f>+R10</f>
        <v>-78.296381446347752</v>
      </c>
      <c r="U10" s="26"/>
      <c r="V10" s="27">
        <f>+R10</f>
        <v>-78.296381446347752</v>
      </c>
      <c r="X10" s="21" t="s">
        <v>17</v>
      </c>
    </row>
    <row r="11" spans="1:24" ht="15" customHeight="1" thickBot="1" x14ac:dyDescent="0.25">
      <c r="C11" s="92" t="s">
        <v>20</v>
      </c>
      <c r="D11" s="21" t="s">
        <v>84</v>
      </c>
      <c r="E11" s="16" t="s">
        <v>0</v>
      </c>
      <c r="F11" s="110" cm="1">
        <f t="array" ref="F11">-SUM(IF(F$22=Debt!$I$4:$AU$4,Debt!$I$37:$AU$37,0))</f>
        <v>-138.26247100515462</v>
      </c>
      <c r="G11" s="26"/>
      <c r="H11" s="27">
        <f>+F11</f>
        <v>-138.26247100515462</v>
      </c>
      <c r="I11" s="26"/>
      <c r="J11" s="27">
        <f>+F11</f>
        <v>-138.26247100515462</v>
      </c>
      <c r="K11" s="26"/>
      <c r="L11" s="110">
        <f t="array" ref="L11">-SUM(IF(L$22=Debt!$I$4:$AU$4,Debt!$I$37:$AU$37,0))</f>
        <v>-142.44145419128546</v>
      </c>
      <c r="M11" s="26"/>
      <c r="N11" s="27">
        <f>+L11</f>
        <v>-142.44145419128546</v>
      </c>
      <c r="O11" s="26"/>
      <c r="P11" s="27">
        <f>+L11</f>
        <v>-142.44145419128546</v>
      </c>
      <c r="Q11" s="26"/>
      <c r="R11" s="110">
        <f t="array" ref="R11">-SUM(IF(R$22=Debt!$I$4:$AU$4,Debt!$I$37:$AU$37,0))</f>
        <v>-150.17588660259113</v>
      </c>
      <c r="S11" s="26"/>
      <c r="T11" s="27">
        <f>+R11</f>
        <v>-150.17588660259113</v>
      </c>
      <c r="U11" s="26"/>
      <c r="V11" s="27">
        <f>+R11</f>
        <v>-150.17588660259113</v>
      </c>
      <c r="X11" s="21" t="s">
        <v>83</v>
      </c>
    </row>
    <row r="12" spans="1:24" ht="15" customHeight="1" x14ac:dyDescent="0.2">
      <c r="C12" s="92" t="s">
        <v>21</v>
      </c>
      <c r="D12" s="21" t="s">
        <v>46</v>
      </c>
      <c r="E12" s="30" t="s">
        <v>0</v>
      </c>
      <c r="F12" s="27">
        <f>76.4035644163217-40</f>
        <v>36.4035644163217</v>
      </c>
      <c r="G12" s="31"/>
      <c r="H12" s="27">
        <f>+F12</f>
        <v>36.4035644163217</v>
      </c>
      <c r="I12" s="26"/>
      <c r="J12" s="27">
        <f>+F12</f>
        <v>36.4035644163217</v>
      </c>
      <c r="K12" s="32"/>
      <c r="L12" s="27">
        <f>60.5247980843653-40</f>
        <v>20.524798084365301</v>
      </c>
      <c r="M12" s="31"/>
      <c r="N12" s="27">
        <f>+L12</f>
        <v>20.524798084365301</v>
      </c>
      <c r="O12" s="26"/>
      <c r="P12" s="27">
        <f>+L12</f>
        <v>20.524798084365301</v>
      </c>
      <c r="Q12" s="31"/>
      <c r="R12" s="27">
        <f>127.847133366978-40</f>
        <v>87.847133366977999</v>
      </c>
      <c r="S12" s="31"/>
      <c r="T12" s="27">
        <f>+R12</f>
        <v>87.847133366977999</v>
      </c>
      <c r="U12" s="26"/>
      <c r="V12" s="27">
        <f>+R12</f>
        <v>87.847133366977999</v>
      </c>
      <c r="X12" s="21" t="s">
        <v>82</v>
      </c>
    </row>
    <row r="13" spans="1:24" ht="15" customHeight="1" x14ac:dyDescent="0.2">
      <c r="C13" s="91" t="s">
        <v>22</v>
      </c>
      <c r="D13" s="33" t="s">
        <v>85</v>
      </c>
      <c r="E13" s="34" t="s">
        <v>0</v>
      </c>
      <c r="F13" s="35">
        <f>SUM(F8:F12)</f>
        <v>643.20414725636977</v>
      </c>
      <c r="G13" s="36"/>
      <c r="H13" s="35">
        <f t="shared" ref="H13:J13" si="0">SUM(H8:H12)</f>
        <v>1043.2041472563697</v>
      </c>
      <c r="I13" s="36"/>
      <c r="J13" s="35">
        <f t="shared" si="0"/>
        <v>1443.2041472563697</v>
      </c>
      <c r="K13" s="37"/>
      <c r="L13" s="35">
        <f>SUM(L8:L12)</f>
        <v>616.02441838999289</v>
      </c>
      <c r="M13" s="36"/>
      <c r="N13" s="35">
        <f t="shared" ref="N13" si="1">SUM(N8:N12)</f>
        <v>1016.0244183899929</v>
      </c>
      <c r="O13" s="36"/>
      <c r="P13" s="35">
        <f t="shared" ref="P13" si="2">SUM(P8:P12)</f>
        <v>1416.0244183899929</v>
      </c>
      <c r="Q13" s="38"/>
      <c r="R13" s="35">
        <f>SUM(R8:R12)</f>
        <v>659.37486531803916</v>
      </c>
      <c r="S13" s="36"/>
      <c r="T13" s="35">
        <f t="shared" ref="T13" si="3">SUM(T8:T12)</f>
        <v>1059.3748653180389</v>
      </c>
      <c r="U13" s="36"/>
      <c r="V13" s="35">
        <f t="shared" ref="V13" si="4">SUM(V8:V12)</f>
        <v>1459.3748653180389</v>
      </c>
      <c r="X13" s="48" t="s">
        <v>23</v>
      </c>
    </row>
    <row r="14" spans="1:24" ht="15" customHeight="1" x14ac:dyDescent="0.2">
      <c r="D14" s="21"/>
      <c r="E14" s="22"/>
      <c r="F14" s="26"/>
      <c r="G14" s="31"/>
      <c r="H14" s="26"/>
      <c r="I14" s="26"/>
      <c r="J14" s="26"/>
      <c r="K14" s="32"/>
      <c r="L14" s="26"/>
      <c r="M14" s="31"/>
      <c r="N14" s="26"/>
      <c r="O14" s="26"/>
      <c r="P14" s="26"/>
      <c r="Q14" s="31"/>
      <c r="R14" s="26"/>
      <c r="S14" s="31"/>
      <c r="T14" s="26"/>
      <c r="U14" s="26"/>
      <c r="V14" s="26"/>
    </row>
    <row r="15" spans="1:24" ht="15" customHeight="1" x14ac:dyDescent="0.2">
      <c r="C15" s="92" t="s">
        <v>24</v>
      </c>
      <c r="D15" s="21" t="s">
        <v>10</v>
      </c>
      <c r="E15" s="39" t="s">
        <v>1</v>
      </c>
      <c r="F15" s="29">
        <v>0.22500000000000001</v>
      </c>
      <c r="G15" s="31"/>
      <c r="H15" s="41">
        <f>+F15</f>
        <v>0.22500000000000001</v>
      </c>
      <c r="I15" s="26"/>
      <c r="J15" s="41">
        <f>+H15</f>
        <v>0.22500000000000001</v>
      </c>
      <c r="K15" s="32"/>
      <c r="L15" s="41">
        <f t="shared" ref="L15:P16" si="5">+J15</f>
        <v>0.22500000000000001</v>
      </c>
      <c r="M15" s="41"/>
      <c r="N15" s="41">
        <f t="shared" si="5"/>
        <v>0.22500000000000001</v>
      </c>
      <c r="O15" s="41"/>
      <c r="P15" s="41">
        <f t="shared" si="5"/>
        <v>0.22500000000000001</v>
      </c>
      <c r="Q15" s="31"/>
      <c r="R15" s="41">
        <f t="shared" ref="R15:R16" si="6">+P15</f>
        <v>0.22500000000000001</v>
      </c>
      <c r="S15" s="41"/>
      <c r="T15" s="41">
        <f t="shared" ref="T15:T16" si="7">+R15</f>
        <v>0.22500000000000001</v>
      </c>
      <c r="U15" s="41"/>
      <c r="V15" s="41">
        <f t="shared" ref="V15:V16" si="8">+T15</f>
        <v>0.22500000000000001</v>
      </c>
      <c r="X15" s="21"/>
    </row>
    <row r="16" spans="1:24" ht="15" customHeight="1" x14ac:dyDescent="0.2">
      <c r="C16" s="92" t="s">
        <v>25</v>
      </c>
      <c r="D16" s="21" t="s">
        <v>55</v>
      </c>
      <c r="E16" s="39" t="s">
        <v>1</v>
      </c>
      <c r="F16" s="29">
        <v>0.77500000000000002</v>
      </c>
      <c r="G16" s="31"/>
      <c r="H16" s="41">
        <f>+F16</f>
        <v>0.77500000000000002</v>
      </c>
      <c r="I16" s="26"/>
      <c r="J16" s="41">
        <f>+H16</f>
        <v>0.77500000000000002</v>
      </c>
      <c r="K16" s="32"/>
      <c r="L16" s="41">
        <f t="shared" si="5"/>
        <v>0.77500000000000002</v>
      </c>
      <c r="M16" s="41"/>
      <c r="N16" s="41">
        <f t="shared" si="5"/>
        <v>0.77500000000000002</v>
      </c>
      <c r="O16" s="41"/>
      <c r="P16" s="41">
        <f t="shared" si="5"/>
        <v>0.77500000000000002</v>
      </c>
      <c r="Q16" s="31"/>
      <c r="R16" s="41">
        <f t="shared" si="6"/>
        <v>0.77500000000000002</v>
      </c>
      <c r="S16" s="41"/>
      <c r="T16" s="41">
        <f t="shared" si="7"/>
        <v>0.77500000000000002</v>
      </c>
      <c r="U16" s="41"/>
      <c r="V16" s="41">
        <f t="shared" si="8"/>
        <v>0.77500000000000002</v>
      </c>
      <c r="X16" s="21"/>
    </row>
    <row r="17" spans="2:24" ht="15" customHeight="1" x14ac:dyDescent="0.2">
      <c r="D17" s="21"/>
      <c r="E17" s="22"/>
      <c r="F17" s="26"/>
      <c r="G17" s="31"/>
      <c r="H17" s="26"/>
      <c r="I17" s="26"/>
      <c r="J17" s="26"/>
      <c r="K17" s="32"/>
      <c r="L17" s="26"/>
      <c r="M17" s="31"/>
      <c r="N17" s="26"/>
      <c r="O17" s="26"/>
      <c r="P17" s="26"/>
      <c r="Q17" s="31"/>
      <c r="R17" s="26"/>
      <c r="S17" s="31"/>
      <c r="T17" s="26"/>
      <c r="U17" s="26"/>
      <c r="V17" s="26"/>
    </row>
    <row r="18" spans="2:24" ht="15" customHeight="1" x14ac:dyDescent="0.2">
      <c r="C18" s="92" t="s">
        <v>26</v>
      </c>
      <c r="D18" s="21" t="s">
        <v>11</v>
      </c>
      <c r="E18" s="39" t="s">
        <v>0</v>
      </c>
      <c r="F18" s="27">
        <f>+F$13*F15</f>
        <v>144.7209331326832</v>
      </c>
      <c r="G18" s="31"/>
      <c r="H18" s="27">
        <f>+H$13*H15</f>
        <v>234.72093313268317</v>
      </c>
      <c r="I18" s="26"/>
      <c r="J18" s="27">
        <f>+J$13*J15</f>
        <v>324.72093313268317</v>
      </c>
      <c r="K18" s="32"/>
      <c r="L18" s="27">
        <f>+L$13*L15</f>
        <v>138.60549413774839</v>
      </c>
      <c r="M18" s="31"/>
      <c r="N18" s="27">
        <f>+N$13*N15</f>
        <v>228.60549413774839</v>
      </c>
      <c r="O18" s="26"/>
      <c r="P18" s="27">
        <f>+P$13*P15</f>
        <v>318.60549413774839</v>
      </c>
      <c r="Q18" s="31"/>
      <c r="R18" s="27">
        <f>+R$13*R15</f>
        <v>148.35934469655882</v>
      </c>
      <c r="S18" s="31"/>
      <c r="T18" s="27">
        <f>+T$13*T15</f>
        <v>238.35934469655876</v>
      </c>
      <c r="U18" s="26"/>
      <c r="V18" s="27">
        <f>+V$13*V15</f>
        <v>328.35934469655876</v>
      </c>
      <c r="X18" s="48" t="s">
        <v>28</v>
      </c>
    </row>
    <row r="19" spans="2:24" ht="15" customHeight="1" x14ac:dyDescent="0.2">
      <c r="C19" s="92" t="s">
        <v>27</v>
      </c>
      <c r="D19" s="21" t="s">
        <v>12</v>
      </c>
      <c r="E19" s="39" t="s">
        <v>0</v>
      </c>
      <c r="F19" s="27">
        <f>+F$13*F16</f>
        <v>498.48321412368659</v>
      </c>
      <c r="G19" s="31"/>
      <c r="H19" s="27">
        <f>+H$13*H16</f>
        <v>808.48321412368648</v>
      </c>
      <c r="I19" s="26"/>
      <c r="J19" s="27">
        <f>+J$13*J16</f>
        <v>1118.4832141236866</v>
      </c>
      <c r="K19" s="32"/>
      <c r="L19" s="27">
        <f>+L$13*L16</f>
        <v>477.41892425224449</v>
      </c>
      <c r="M19" s="31"/>
      <c r="N19" s="27">
        <f>+N$13*N16</f>
        <v>787.41892425224455</v>
      </c>
      <c r="O19" s="26"/>
      <c r="P19" s="27">
        <f>+P$13*P16</f>
        <v>1097.4189242522446</v>
      </c>
      <c r="Q19" s="31"/>
      <c r="R19" s="27">
        <f>+R$13*R16</f>
        <v>511.01552062148033</v>
      </c>
      <c r="S19" s="31"/>
      <c r="T19" s="27">
        <f>+T$13*T16</f>
        <v>821.01552062148016</v>
      </c>
      <c r="U19" s="26"/>
      <c r="V19" s="27">
        <f>+V$13*V16</f>
        <v>1131.0155206214802</v>
      </c>
      <c r="X19" s="48" t="s">
        <v>29</v>
      </c>
    </row>
    <row r="20" spans="2:24" ht="15" customHeight="1" x14ac:dyDescent="0.2">
      <c r="D20" s="21"/>
      <c r="E20" s="22"/>
      <c r="F20" s="26"/>
      <c r="G20" s="31"/>
      <c r="H20" s="26"/>
      <c r="I20" s="26"/>
      <c r="J20" s="26"/>
      <c r="K20" s="32"/>
      <c r="L20" s="26"/>
      <c r="M20" s="31"/>
      <c r="N20" s="26"/>
      <c r="O20" s="26"/>
      <c r="P20" s="26"/>
      <c r="Q20" s="31"/>
      <c r="R20" s="26"/>
      <c r="S20" s="31"/>
      <c r="T20" s="26"/>
      <c r="U20" s="26"/>
      <c r="V20" s="26"/>
    </row>
    <row r="21" spans="2:24" ht="15" customHeight="1" x14ac:dyDescent="0.2">
      <c r="C21" s="92" t="s">
        <v>31</v>
      </c>
      <c r="D21" s="21" t="s">
        <v>56</v>
      </c>
      <c r="E21" s="39" t="s">
        <v>3</v>
      </c>
      <c r="F21" s="95">
        <v>44519</v>
      </c>
      <c r="G21" s="96"/>
      <c r="H21" s="97">
        <f>+F21</f>
        <v>44519</v>
      </c>
      <c r="I21" s="95"/>
      <c r="J21" s="97">
        <f>+H21</f>
        <v>44519</v>
      </c>
      <c r="K21" s="98"/>
      <c r="L21" s="97">
        <f>+J21</f>
        <v>44519</v>
      </c>
      <c r="M21" s="95"/>
      <c r="N21" s="97">
        <f>+L21</f>
        <v>44519</v>
      </c>
      <c r="O21" s="95"/>
      <c r="P21" s="97">
        <f>+N21</f>
        <v>44519</v>
      </c>
      <c r="Q21" s="95"/>
      <c r="R21" s="97">
        <f>+P21</f>
        <v>44519</v>
      </c>
      <c r="S21" s="96"/>
      <c r="T21" s="97">
        <f>+R21</f>
        <v>44519</v>
      </c>
      <c r="U21" s="95"/>
      <c r="V21" s="97">
        <f>+T21</f>
        <v>44519</v>
      </c>
      <c r="X21" s="21"/>
    </row>
    <row r="22" spans="2:24" ht="15" customHeight="1" x14ac:dyDescent="0.2">
      <c r="C22" s="92" t="s">
        <v>32</v>
      </c>
      <c r="D22" s="21" t="s">
        <v>13</v>
      </c>
      <c r="E22" s="39" t="s">
        <v>3</v>
      </c>
      <c r="F22" s="95">
        <v>45657</v>
      </c>
      <c r="G22" s="96"/>
      <c r="H22" s="97">
        <f>+F22</f>
        <v>45657</v>
      </c>
      <c r="I22" s="95"/>
      <c r="J22" s="97">
        <f>+H22</f>
        <v>45657</v>
      </c>
      <c r="K22" s="98"/>
      <c r="L22" s="95">
        <v>46022</v>
      </c>
      <c r="M22" s="96"/>
      <c r="N22" s="97">
        <f>+L22</f>
        <v>46022</v>
      </c>
      <c r="O22" s="95"/>
      <c r="P22" s="97">
        <f>+N22</f>
        <v>46022</v>
      </c>
      <c r="Q22" s="96"/>
      <c r="R22" s="95">
        <v>46387</v>
      </c>
      <c r="S22" s="96"/>
      <c r="T22" s="97">
        <f>+R22</f>
        <v>46387</v>
      </c>
      <c r="U22" s="95"/>
      <c r="V22" s="97">
        <f>+T22</f>
        <v>46387</v>
      </c>
      <c r="X22" s="21"/>
    </row>
    <row r="23" spans="2:24" ht="15" customHeight="1" x14ac:dyDescent="0.2">
      <c r="C23" s="92" t="s">
        <v>33</v>
      </c>
      <c r="D23" s="21" t="s">
        <v>52</v>
      </c>
      <c r="E23" s="39" t="s">
        <v>0</v>
      </c>
      <c r="F23" s="26">
        <v>481.959</v>
      </c>
      <c r="G23" s="31"/>
      <c r="H23" s="27">
        <f>+F23</f>
        <v>481.959</v>
      </c>
      <c r="I23" s="26"/>
      <c r="J23" s="27">
        <f>+H23</f>
        <v>481.959</v>
      </c>
      <c r="K23" s="32"/>
      <c r="L23" s="27">
        <f>+J23</f>
        <v>481.959</v>
      </c>
      <c r="M23" s="26"/>
      <c r="N23" s="27">
        <f>+L23</f>
        <v>481.959</v>
      </c>
      <c r="O23" s="26"/>
      <c r="P23" s="27">
        <f>+N23</f>
        <v>481.959</v>
      </c>
      <c r="Q23" s="26"/>
      <c r="R23" s="27">
        <f>+P23</f>
        <v>481.959</v>
      </c>
      <c r="S23" s="31"/>
      <c r="T23" s="27">
        <f>+R23</f>
        <v>481.959</v>
      </c>
      <c r="U23" s="26"/>
      <c r="V23" s="27">
        <f>+T23</f>
        <v>481.959</v>
      </c>
      <c r="X23" s="21" t="s">
        <v>30</v>
      </c>
    </row>
    <row r="24" spans="2:24" ht="15" customHeight="1" x14ac:dyDescent="0.2">
      <c r="C24" s="92" t="s">
        <v>34</v>
      </c>
      <c r="D24" s="21" t="s">
        <v>14</v>
      </c>
      <c r="E24" s="39" t="s">
        <v>1</v>
      </c>
      <c r="F24" s="28">
        <v>0.15</v>
      </c>
      <c r="G24" s="31"/>
      <c r="H24" s="40">
        <f>+F24</f>
        <v>0.15</v>
      </c>
      <c r="I24" s="26"/>
      <c r="J24" s="40">
        <f>+H24</f>
        <v>0.15</v>
      </c>
      <c r="K24" s="32"/>
      <c r="L24" s="40">
        <f>+J24</f>
        <v>0.15</v>
      </c>
      <c r="M24" s="26"/>
      <c r="N24" s="40">
        <f>+L24</f>
        <v>0.15</v>
      </c>
      <c r="O24" s="26"/>
      <c r="P24" s="40">
        <f>+N24</f>
        <v>0.15</v>
      </c>
      <c r="Q24" s="26"/>
      <c r="R24" s="40">
        <f>+P24</f>
        <v>0.15</v>
      </c>
      <c r="S24" s="31"/>
      <c r="T24" s="40">
        <f>+R24</f>
        <v>0.15</v>
      </c>
      <c r="U24" s="26"/>
      <c r="V24" s="40">
        <f>+T24</f>
        <v>0.15</v>
      </c>
      <c r="X24" s="21"/>
    </row>
    <row r="25" spans="2:24" ht="24.95" customHeight="1" x14ac:dyDescent="0.2">
      <c r="C25" s="92" t="s">
        <v>35</v>
      </c>
      <c r="D25" s="21" t="s">
        <v>108</v>
      </c>
      <c r="E25" s="39" t="s">
        <v>0</v>
      </c>
      <c r="F25" s="110">
        <f>+IRR!E7</f>
        <v>697.83600000000001</v>
      </c>
      <c r="G25" s="31"/>
      <c r="H25" s="27">
        <f>+F25</f>
        <v>697.83600000000001</v>
      </c>
      <c r="I25" s="26"/>
      <c r="J25" s="27">
        <f>+F25</f>
        <v>697.83600000000001</v>
      </c>
      <c r="K25" s="32"/>
      <c r="L25" s="110">
        <f>+IRR!J7</f>
        <v>802.51179999999999</v>
      </c>
      <c r="M25" s="31"/>
      <c r="N25" s="27">
        <f>+L25</f>
        <v>802.51179999999999</v>
      </c>
      <c r="O25" s="26"/>
      <c r="P25" s="27">
        <f>+N25</f>
        <v>802.51179999999999</v>
      </c>
      <c r="Q25" s="31"/>
      <c r="R25" s="110">
        <f>+IRR!O7</f>
        <v>922.8886</v>
      </c>
      <c r="S25" s="31"/>
      <c r="T25" s="27">
        <f>+R25</f>
        <v>922.8886</v>
      </c>
      <c r="U25" s="26"/>
      <c r="V25" s="27">
        <f>+T25</f>
        <v>922.8886</v>
      </c>
      <c r="X25" s="155" t="s">
        <v>118</v>
      </c>
    </row>
    <row r="26" spans="2:24" s="143" customFormat="1" ht="15" customHeight="1" x14ac:dyDescent="0.2">
      <c r="B26" s="144"/>
      <c r="C26" s="145" t="s">
        <v>113</v>
      </c>
      <c r="D26" s="149" t="s">
        <v>112</v>
      </c>
      <c r="E26" s="39" t="s">
        <v>0</v>
      </c>
      <c r="F26" s="150">
        <f>+F25/F16</f>
        <v>900.43354838709672</v>
      </c>
      <c r="G26" s="150"/>
      <c r="H26" s="150">
        <f>+H25/H16</f>
        <v>900.43354838709672</v>
      </c>
      <c r="I26" s="147"/>
      <c r="J26" s="150">
        <f>+J25/J16</f>
        <v>900.43354838709672</v>
      </c>
      <c r="K26" s="148"/>
      <c r="L26" s="150">
        <f>+L25/L16</f>
        <v>1035.4990967741935</v>
      </c>
      <c r="M26" s="146"/>
      <c r="N26" s="150">
        <f>+N25/N16</f>
        <v>1035.4990967741935</v>
      </c>
      <c r="O26" s="147"/>
      <c r="P26" s="150">
        <f>+P25/P16</f>
        <v>1035.4990967741935</v>
      </c>
      <c r="Q26" s="146"/>
      <c r="R26" s="150">
        <f>+R25/R16</f>
        <v>1190.8240000000001</v>
      </c>
      <c r="S26" s="146"/>
      <c r="T26" s="150">
        <f>+T25/T16</f>
        <v>1190.8240000000001</v>
      </c>
      <c r="U26" s="147"/>
      <c r="V26" s="150">
        <f>+V25/V16</f>
        <v>1190.8240000000001</v>
      </c>
      <c r="X26" s="48" t="s">
        <v>114</v>
      </c>
    </row>
    <row r="27" spans="2:24" ht="15" customHeight="1" x14ac:dyDescent="0.2">
      <c r="D27" s="21"/>
      <c r="E27" s="22"/>
      <c r="F27" s="26"/>
      <c r="G27" s="31"/>
      <c r="H27" s="26"/>
      <c r="I27" s="26"/>
      <c r="J27" s="26"/>
      <c r="K27" s="32"/>
      <c r="L27" s="26"/>
      <c r="M27" s="31"/>
      <c r="N27" s="26"/>
      <c r="O27" s="26"/>
      <c r="P27" s="26"/>
      <c r="Q27" s="31"/>
      <c r="R27" s="26"/>
      <c r="S27" s="31"/>
      <c r="T27" s="26"/>
      <c r="U27" s="26"/>
      <c r="V27" s="26"/>
    </row>
    <row r="28" spans="2:24" ht="15" customHeight="1" x14ac:dyDescent="0.2">
      <c r="C28" s="92" t="s">
        <v>27</v>
      </c>
      <c r="D28" s="42" t="s">
        <v>12</v>
      </c>
      <c r="E28" s="43" t="s">
        <v>0</v>
      </c>
      <c r="F28" s="51">
        <f>+F19</f>
        <v>498.48321412368659</v>
      </c>
      <c r="G28" s="52"/>
      <c r="H28" s="51">
        <f>+H19</f>
        <v>808.48321412368648</v>
      </c>
      <c r="I28" s="53"/>
      <c r="J28" s="51">
        <f>+J19</f>
        <v>1118.4832141236866</v>
      </c>
      <c r="K28" s="54"/>
      <c r="L28" s="51">
        <f>+L19</f>
        <v>477.41892425224449</v>
      </c>
      <c r="M28" s="52"/>
      <c r="N28" s="51">
        <f>+N19</f>
        <v>787.41892425224455</v>
      </c>
      <c r="O28" s="53"/>
      <c r="P28" s="51">
        <f>+P19</f>
        <v>1097.4189242522446</v>
      </c>
      <c r="Q28" s="52"/>
      <c r="R28" s="51">
        <f>+R19</f>
        <v>511.01552062148033</v>
      </c>
      <c r="S28" s="52"/>
      <c r="T28" s="51">
        <f>+T19</f>
        <v>821.01552062148016</v>
      </c>
      <c r="U28" s="53"/>
      <c r="V28" s="55">
        <f>+V19</f>
        <v>1131.0155206214802</v>
      </c>
    </row>
    <row r="29" spans="2:24" ht="15" customHeight="1" x14ac:dyDescent="0.2">
      <c r="C29" s="92" t="s">
        <v>35</v>
      </c>
      <c r="D29" s="44" t="s">
        <v>53</v>
      </c>
      <c r="E29" s="45" t="s">
        <v>0</v>
      </c>
      <c r="F29" s="56">
        <f>-F25</f>
        <v>-697.83600000000001</v>
      </c>
      <c r="G29" s="57"/>
      <c r="H29" s="56">
        <f>-H25</f>
        <v>-697.83600000000001</v>
      </c>
      <c r="I29" s="58"/>
      <c r="J29" s="56">
        <f>-J25</f>
        <v>-697.83600000000001</v>
      </c>
      <c r="K29" s="59"/>
      <c r="L29" s="56">
        <f>-L25</f>
        <v>-802.51179999999999</v>
      </c>
      <c r="M29" s="57"/>
      <c r="N29" s="56">
        <f>-N25</f>
        <v>-802.51179999999999</v>
      </c>
      <c r="O29" s="58"/>
      <c r="P29" s="56">
        <f>-P25</f>
        <v>-802.51179999999999</v>
      </c>
      <c r="Q29" s="57"/>
      <c r="R29" s="56">
        <f>-R25</f>
        <v>-922.8886</v>
      </c>
      <c r="S29" s="57"/>
      <c r="T29" s="56">
        <f>-T25</f>
        <v>-922.8886</v>
      </c>
      <c r="U29" s="58"/>
      <c r="V29" s="60">
        <f>-V25</f>
        <v>-922.8886</v>
      </c>
    </row>
    <row r="30" spans="2:24" ht="15" customHeight="1" x14ac:dyDescent="0.2">
      <c r="C30" s="91" t="s">
        <v>36</v>
      </c>
      <c r="D30" s="46" t="s">
        <v>88</v>
      </c>
      <c r="E30" s="47" t="s">
        <v>0</v>
      </c>
      <c r="F30" s="61">
        <f>+MAX(SUM(F28:F29),0)</f>
        <v>0</v>
      </c>
      <c r="G30" s="62"/>
      <c r="H30" s="61">
        <f>+MAX(SUM(H28:H29),0)</f>
        <v>110.64721412368647</v>
      </c>
      <c r="I30" s="61"/>
      <c r="J30" s="61">
        <f>+MAX(SUM(J28:J29),0)</f>
        <v>420.64721412368658</v>
      </c>
      <c r="K30" s="63"/>
      <c r="L30" s="61">
        <f>+MAX(SUM(L28:L29),0)</f>
        <v>0</v>
      </c>
      <c r="M30" s="62"/>
      <c r="N30" s="61">
        <f>+MAX(SUM(N28:N29),0)</f>
        <v>0</v>
      </c>
      <c r="O30" s="61"/>
      <c r="P30" s="61">
        <f>+MAX(SUM(P28:P29),0)</f>
        <v>294.90712425224456</v>
      </c>
      <c r="Q30" s="62"/>
      <c r="R30" s="61">
        <f>+MAX(SUM(R28:R29),0)</f>
        <v>0</v>
      </c>
      <c r="S30" s="62"/>
      <c r="T30" s="61">
        <f>+MAX(SUM(T28:T29),0)</f>
        <v>0</v>
      </c>
      <c r="U30" s="61"/>
      <c r="V30" s="64">
        <f>+MAX(SUM(V28:V29),0)</f>
        <v>208.12692062148017</v>
      </c>
      <c r="X30" s="48" t="s">
        <v>117</v>
      </c>
    </row>
    <row r="31" spans="2:24" ht="15" customHeight="1" x14ac:dyDescent="0.2">
      <c r="D31" s="21"/>
      <c r="E31" s="22"/>
      <c r="F31" s="26"/>
      <c r="G31" s="31"/>
      <c r="H31" s="26"/>
      <c r="I31" s="26"/>
      <c r="J31" s="26"/>
      <c r="K31" s="32"/>
      <c r="L31" s="26"/>
      <c r="M31" s="31"/>
      <c r="N31" s="26"/>
      <c r="O31" s="26"/>
      <c r="P31" s="26"/>
      <c r="Q31" s="31"/>
      <c r="R31" s="26"/>
      <c r="S31" s="31"/>
      <c r="T31" s="26"/>
      <c r="U31" s="26"/>
      <c r="V31" s="26"/>
    </row>
    <row r="32" spans="2:24" ht="15" customHeight="1" x14ac:dyDescent="0.2">
      <c r="C32" s="92" t="s">
        <v>37</v>
      </c>
      <c r="D32" s="21" t="s">
        <v>49</v>
      </c>
      <c r="E32" s="39" t="s">
        <v>1</v>
      </c>
      <c r="F32" s="28">
        <v>0.6</v>
      </c>
      <c r="G32" s="31"/>
      <c r="H32" s="40">
        <f>+F32</f>
        <v>0.6</v>
      </c>
      <c r="I32" s="26"/>
      <c r="J32" s="40">
        <f>+H32</f>
        <v>0.6</v>
      </c>
      <c r="K32" s="32"/>
      <c r="L32" s="40">
        <f>+J32</f>
        <v>0.6</v>
      </c>
      <c r="M32" s="31"/>
      <c r="N32" s="40">
        <f>+L32</f>
        <v>0.6</v>
      </c>
      <c r="O32" s="26"/>
      <c r="P32" s="40">
        <f>+N32</f>
        <v>0.6</v>
      </c>
      <c r="Q32" s="31"/>
      <c r="R32" s="40">
        <f>+P32</f>
        <v>0.6</v>
      </c>
      <c r="S32" s="31"/>
      <c r="T32" s="40">
        <f>+R32</f>
        <v>0.6</v>
      </c>
      <c r="U32" s="26"/>
      <c r="V32" s="40">
        <f>+T32</f>
        <v>0.6</v>
      </c>
      <c r="X32" s="21"/>
    </row>
    <row r="33" spans="1:24" ht="15" customHeight="1" x14ac:dyDescent="0.2">
      <c r="C33" s="92" t="s">
        <v>38</v>
      </c>
      <c r="D33" s="21" t="s">
        <v>50</v>
      </c>
      <c r="E33" s="39" t="s">
        <v>1</v>
      </c>
      <c r="F33" s="28">
        <v>0.4</v>
      </c>
      <c r="G33" s="31"/>
      <c r="H33" s="40">
        <f>+F33</f>
        <v>0.4</v>
      </c>
      <c r="I33" s="26"/>
      <c r="J33" s="40">
        <f>+H33</f>
        <v>0.4</v>
      </c>
      <c r="K33" s="32"/>
      <c r="L33" s="40">
        <f>+J33</f>
        <v>0.4</v>
      </c>
      <c r="M33" s="31"/>
      <c r="N33" s="40">
        <f>+L33</f>
        <v>0.4</v>
      </c>
      <c r="O33" s="26"/>
      <c r="P33" s="40">
        <f>+N33</f>
        <v>0.4</v>
      </c>
      <c r="Q33" s="31"/>
      <c r="R33" s="40">
        <f>+P33</f>
        <v>0.4</v>
      </c>
      <c r="S33" s="31"/>
      <c r="T33" s="40">
        <f>+R33</f>
        <v>0.4</v>
      </c>
      <c r="U33" s="26"/>
      <c r="V33" s="40">
        <f>+T33</f>
        <v>0.4</v>
      </c>
      <c r="X33" s="21"/>
    </row>
    <row r="34" spans="1:24" ht="15" customHeight="1" x14ac:dyDescent="0.2">
      <c r="D34" s="21"/>
      <c r="E34" s="22"/>
      <c r="F34" s="26"/>
      <c r="G34" s="31"/>
      <c r="H34" s="26"/>
      <c r="I34" s="26"/>
      <c r="J34" s="26"/>
      <c r="K34" s="32"/>
      <c r="L34" s="26"/>
      <c r="M34" s="31"/>
      <c r="N34" s="26"/>
      <c r="O34" s="26"/>
      <c r="P34" s="26"/>
      <c r="Q34" s="31"/>
      <c r="R34" s="26"/>
      <c r="S34" s="31"/>
      <c r="T34" s="26"/>
      <c r="U34" s="26"/>
      <c r="V34" s="26"/>
    </row>
    <row r="35" spans="1:24" ht="15" customHeight="1" x14ac:dyDescent="0.2">
      <c r="C35" s="92" t="s">
        <v>39</v>
      </c>
      <c r="D35" s="21" t="s">
        <v>49</v>
      </c>
      <c r="E35" s="39" t="s">
        <v>0</v>
      </c>
      <c r="F35" s="65">
        <f>+F32*F$30</f>
        <v>0</v>
      </c>
      <c r="G35" s="66"/>
      <c r="H35" s="65">
        <f>+H32*H$30</f>
        <v>66.388328474211875</v>
      </c>
      <c r="I35" s="67"/>
      <c r="J35" s="65">
        <f>+J32*J$30</f>
        <v>252.38832847421193</v>
      </c>
      <c r="K35" s="68"/>
      <c r="L35" s="65">
        <f>+L32*L$30</f>
        <v>0</v>
      </c>
      <c r="M35" s="66"/>
      <c r="N35" s="65">
        <f>+N32*N$30</f>
        <v>0</v>
      </c>
      <c r="O35" s="67"/>
      <c r="P35" s="65">
        <f>+P32*P$30</f>
        <v>176.94427455134672</v>
      </c>
      <c r="Q35" s="66"/>
      <c r="R35" s="65">
        <f>+R32*R$30</f>
        <v>0</v>
      </c>
      <c r="S35" s="66"/>
      <c r="T35" s="65">
        <f>+T32*T$30</f>
        <v>0</v>
      </c>
      <c r="U35" s="67"/>
      <c r="V35" s="65">
        <f>+V32*V$30</f>
        <v>124.8761523728881</v>
      </c>
      <c r="X35" s="48" t="s">
        <v>42</v>
      </c>
    </row>
    <row r="36" spans="1:24" ht="15" customHeight="1" x14ac:dyDescent="0.2">
      <c r="A36" s="119"/>
      <c r="C36" s="92" t="s">
        <v>40</v>
      </c>
      <c r="D36" s="126" t="s">
        <v>109</v>
      </c>
      <c r="E36" s="127" t="s">
        <v>0</v>
      </c>
      <c r="F36" s="128">
        <f>+F33*F$30</f>
        <v>0</v>
      </c>
      <c r="G36" s="129"/>
      <c r="H36" s="128">
        <f>+H33*H$30</f>
        <v>44.258885649474593</v>
      </c>
      <c r="I36" s="130"/>
      <c r="J36" s="128">
        <f>+J33*J$30</f>
        <v>168.25888564947465</v>
      </c>
      <c r="K36" s="131"/>
      <c r="L36" s="128">
        <f>+L33*L$30</f>
        <v>0</v>
      </c>
      <c r="M36" s="129"/>
      <c r="N36" s="128">
        <f>+N33*N$30</f>
        <v>0</v>
      </c>
      <c r="O36" s="130"/>
      <c r="P36" s="128">
        <f>+P33*P$30</f>
        <v>117.96284970089783</v>
      </c>
      <c r="Q36" s="129"/>
      <c r="R36" s="128">
        <f>+R33*R$30</f>
        <v>0</v>
      </c>
      <c r="S36" s="129"/>
      <c r="T36" s="128">
        <f>+T33*T$30</f>
        <v>0</v>
      </c>
      <c r="U36" s="130"/>
      <c r="V36" s="132">
        <f>+V33*V$30</f>
        <v>83.250768248592067</v>
      </c>
      <c r="X36" s="48" t="s">
        <v>43</v>
      </c>
    </row>
    <row r="37" spans="1:24" ht="15" customHeight="1" x14ac:dyDescent="0.2">
      <c r="C37" s="93"/>
      <c r="D37" s="21"/>
      <c r="E37" s="22"/>
      <c r="F37" s="26"/>
      <c r="G37" s="31"/>
      <c r="H37" s="26"/>
      <c r="I37" s="26"/>
      <c r="J37" s="26"/>
      <c r="K37" s="32"/>
      <c r="L37" s="26"/>
      <c r="M37" s="31"/>
      <c r="N37" s="26"/>
      <c r="O37" s="26"/>
      <c r="P37" s="26"/>
      <c r="Q37" s="31"/>
      <c r="R37" s="26"/>
      <c r="S37" s="31"/>
      <c r="T37" s="26"/>
      <c r="U37" s="26"/>
      <c r="V37" s="26"/>
    </row>
    <row r="38" spans="1:24" ht="15" customHeight="1" x14ac:dyDescent="0.2">
      <c r="C38" s="91" t="s">
        <v>26</v>
      </c>
      <c r="D38" s="69" t="s">
        <v>51</v>
      </c>
      <c r="E38" s="70" t="s">
        <v>0</v>
      </c>
      <c r="F38" s="71">
        <f>+F18</f>
        <v>144.7209331326832</v>
      </c>
      <c r="G38" s="72"/>
      <c r="H38" s="71">
        <f>+H18</f>
        <v>234.72093313268317</v>
      </c>
      <c r="I38" s="73"/>
      <c r="J38" s="71">
        <f>+J18</f>
        <v>324.72093313268317</v>
      </c>
      <c r="K38" s="74"/>
      <c r="L38" s="71">
        <f>+L18</f>
        <v>138.60549413774839</v>
      </c>
      <c r="M38" s="72"/>
      <c r="N38" s="71">
        <f>+N18</f>
        <v>228.60549413774839</v>
      </c>
      <c r="O38" s="73"/>
      <c r="P38" s="71">
        <f>+P18</f>
        <v>318.60549413774839</v>
      </c>
      <c r="Q38" s="72"/>
      <c r="R38" s="71">
        <f>+R18</f>
        <v>148.35934469655882</v>
      </c>
      <c r="S38" s="72"/>
      <c r="T38" s="71">
        <f>+T18</f>
        <v>238.35934469655876</v>
      </c>
      <c r="U38" s="73"/>
      <c r="V38" s="75">
        <f>+V18</f>
        <v>328.35934469655876</v>
      </c>
      <c r="X38" s="21"/>
    </row>
    <row r="39" spans="1:24" ht="15" customHeight="1" x14ac:dyDescent="0.2">
      <c r="C39" s="91" t="s">
        <v>41</v>
      </c>
      <c r="D39" s="76" t="s">
        <v>54</v>
      </c>
      <c r="E39" s="77" t="s">
        <v>0</v>
      </c>
      <c r="F39" s="78">
        <f>+F28-F40</f>
        <v>498.48321412368659</v>
      </c>
      <c r="G39" s="79"/>
      <c r="H39" s="78">
        <f>+H28-H40</f>
        <v>764.22432847421192</v>
      </c>
      <c r="I39" s="80"/>
      <c r="J39" s="78">
        <f>+J28-J40</f>
        <v>950.22432847421192</v>
      </c>
      <c r="K39" s="81"/>
      <c r="L39" s="78">
        <f>+L28-L40</f>
        <v>477.41892425224449</v>
      </c>
      <c r="M39" s="79"/>
      <c r="N39" s="78">
        <f>+N28-N40</f>
        <v>787.41892425224455</v>
      </c>
      <c r="O39" s="80"/>
      <c r="P39" s="78">
        <f>+P28-P40</f>
        <v>979.45607455134677</v>
      </c>
      <c r="Q39" s="79"/>
      <c r="R39" s="78">
        <f>+R28-R40</f>
        <v>511.01552062148033</v>
      </c>
      <c r="S39" s="79"/>
      <c r="T39" s="78">
        <f>+T28-T40</f>
        <v>821.01552062148016</v>
      </c>
      <c r="U39" s="80"/>
      <c r="V39" s="82">
        <f>+V28-V40</f>
        <v>1047.7647523728881</v>
      </c>
      <c r="X39" s="48" t="s">
        <v>44</v>
      </c>
    </row>
    <row r="40" spans="1:24" ht="15" customHeight="1" x14ac:dyDescent="0.2">
      <c r="C40" s="91" t="s">
        <v>40</v>
      </c>
      <c r="D40" s="83" t="s">
        <v>104</v>
      </c>
      <c r="E40" s="84" t="s">
        <v>0</v>
      </c>
      <c r="F40" s="85">
        <f>+F36</f>
        <v>0</v>
      </c>
      <c r="G40" s="86"/>
      <c r="H40" s="85">
        <f>+H36</f>
        <v>44.258885649474593</v>
      </c>
      <c r="I40" s="87"/>
      <c r="J40" s="85">
        <f>+J36</f>
        <v>168.25888564947465</v>
      </c>
      <c r="K40" s="88"/>
      <c r="L40" s="85">
        <f>+L36</f>
        <v>0</v>
      </c>
      <c r="M40" s="86"/>
      <c r="N40" s="85">
        <f>+N36</f>
        <v>0</v>
      </c>
      <c r="O40" s="87"/>
      <c r="P40" s="85">
        <f>+P36</f>
        <v>117.96284970089783</v>
      </c>
      <c r="Q40" s="86"/>
      <c r="R40" s="85">
        <f>+R36</f>
        <v>0</v>
      </c>
      <c r="S40" s="86"/>
      <c r="T40" s="85">
        <f>+T36</f>
        <v>0</v>
      </c>
      <c r="U40" s="87"/>
      <c r="V40" s="89">
        <f>+V36</f>
        <v>83.250768248592067</v>
      </c>
      <c r="X40" s="21"/>
    </row>
    <row r="41" spans="1:24" ht="15" customHeight="1" x14ac:dyDescent="0.2">
      <c r="D41" s="21"/>
      <c r="E41" s="22"/>
      <c r="F41" s="26"/>
      <c r="G41" s="31"/>
      <c r="H41" s="26"/>
      <c r="I41" s="26"/>
      <c r="J41" s="26"/>
      <c r="K41" s="32"/>
      <c r="L41" s="26"/>
      <c r="M41" s="31"/>
      <c r="N41" s="26"/>
      <c r="O41" s="26"/>
      <c r="P41" s="26"/>
      <c r="Q41" s="31"/>
      <c r="R41" s="26"/>
      <c r="S41" s="31"/>
      <c r="T41" s="26"/>
      <c r="U41" s="26"/>
      <c r="V41" s="26"/>
    </row>
    <row r="42" spans="1:24" ht="15" customHeight="1" x14ac:dyDescent="0.2">
      <c r="D42" s="21" t="s">
        <v>45</v>
      </c>
      <c r="E42" s="22"/>
      <c r="F42" s="26"/>
      <c r="G42" s="31"/>
      <c r="H42" s="26"/>
      <c r="I42" s="26"/>
      <c r="J42" s="26"/>
      <c r="K42" s="32"/>
      <c r="L42" s="26"/>
      <c r="M42" s="31"/>
      <c r="N42" s="26"/>
      <c r="O42" s="26"/>
      <c r="P42" s="26"/>
      <c r="Q42" s="31"/>
      <c r="R42" s="26"/>
      <c r="S42" s="31"/>
      <c r="T42" s="26"/>
      <c r="U42" s="26"/>
      <c r="V42" s="26"/>
    </row>
    <row r="43" spans="1:24" ht="15" customHeight="1" x14ac:dyDescent="0.2">
      <c r="D43" s="94" t="s">
        <v>87</v>
      </c>
      <c r="E43" s="22"/>
      <c r="F43" s="26"/>
      <c r="G43" s="31"/>
      <c r="H43" s="26"/>
      <c r="I43" s="26"/>
      <c r="J43" s="26"/>
      <c r="K43" s="32"/>
      <c r="L43" s="26"/>
      <c r="M43" s="31"/>
      <c r="N43" s="26"/>
      <c r="O43" s="26"/>
      <c r="P43" s="26"/>
      <c r="Q43" s="31"/>
      <c r="R43" s="26"/>
      <c r="S43" s="31"/>
      <c r="T43" s="26"/>
      <c r="U43" s="26"/>
      <c r="V43" s="26"/>
    </row>
    <row r="44" spans="1:24" ht="15" customHeight="1" x14ac:dyDescent="0.2">
      <c r="D44" s="94" t="s">
        <v>86</v>
      </c>
      <c r="E44" s="22"/>
      <c r="F44" s="26"/>
      <c r="G44" s="31"/>
      <c r="H44" s="26"/>
      <c r="I44" s="26"/>
      <c r="J44" s="26"/>
      <c r="K44" s="32"/>
      <c r="L44" s="26"/>
      <c r="M44" s="31"/>
      <c r="N44" s="26"/>
      <c r="O44" s="26"/>
      <c r="P44" s="26"/>
      <c r="Q44" s="31"/>
      <c r="R44" s="26"/>
      <c r="S44" s="31"/>
      <c r="T44" s="26"/>
      <c r="U44" s="26"/>
      <c r="V44" s="26"/>
    </row>
    <row r="45" spans="1:24" ht="15" customHeight="1" x14ac:dyDescent="0.2">
      <c r="D45" s="21"/>
      <c r="E45" s="22"/>
      <c r="F45" s="26"/>
      <c r="G45" s="31"/>
      <c r="H45" s="26"/>
      <c r="I45" s="26"/>
      <c r="J45" s="26"/>
      <c r="K45" s="32"/>
      <c r="L45" s="26"/>
      <c r="M45" s="31"/>
      <c r="N45" s="26"/>
      <c r="O45" s="26"/>
      <c r="P45" s="26"/>
      <c r="Q45" s="31"/>
      <c r="R45" s="26"/>
      <c r="S45" s="31"/>
      <c r="T45" s="26"/>
      <c r="U45" s="26"/>
      <c r="V45" s="26"/>
    </row>
    <row r="46" spans="1:24" ht="15" customHeight="1" x14ac:dyDescent="0.2">
      <c r="D46" s="48" t="s">
        <v>2</v>
      </c>
      <c r="E46" s="49"/>
      <c r="F46" s="50">
        <f>+SUM(F38:F40)-F13</f>
        <v>0</v>
      </c>
      <c r="G46" s="50"/>
      <c r="H46" s="50">
        <f>+SUM(H38:H40)-H13</f>
        <v>0</v>
      </c>
      <c r="I46" s="50"/>
      <c r="J46" s="50">
        <f>+SUM(J38:J40)-J13</f>
        <v>0</v>
      </c>
      <c r="K46" s="50"/>
      <c r="L46" s="50">
        <f>+SUM(L38:L40)-L13</f>
        <v>0</v>
      </c>
      <c r="M46" s="50"/>
      <c r="N46" s="50">
        <f>+SUM(N38:N40)-N13</f>
        <v>0</v>
      </c>
      <c r="O46" s="50"/>
      <c r="P46" s="50">
        <f>+SUM(P38:P40)-P13</f>
        <v>0</v>
      </c>
      <c r="Q46" s="50"/>
      <c r="R46" s="50">
        <f>+SUM(R38:R40)-R13</f>
        <v>0</v>
      </c>
      <c r="S46" s="50"/>
      <c r="T46" s="50">
        <f>+SUM(T38:T40)-T13</f>
        <v>0</v>
      </c>
      <c r="U46" s="50"/>
      <c r="V46" s="50">
        <f>+SUM(V38:V40)-V13</f>
        <v>0</v>
      </c>
    </row>
    <row r="47" spans="1:24" ht="15" customHeight="1" x14ac:dyDescent="0.2">
      <c r="D47" s="21"/>
      <c r="E47" s="22"/>
      <c r="F47" s="26"/>
      <c r="G47" s="31"/>
      <c r="H47" s="26"/>
      <c r="I47" s="26"/>
      <c r="J47" s="26"/>
      <c r="K47" s="32"/>
      <c r="L47" s="26"/>
      <c r="M47" s="31"/>
      <c r="N47" s="26"/>
      <c r="O47" s="26"/>
      <c r="P47" s="26"/>
      <c r="Q47" s="31"/>
      <c r="R47" s="26"/>
      <c r="S47" s="31"/>
      <c r="T47" s="26"/>
      <c r="U47" s="26"/>
      <c r="V47" s="26"/>
    </row>
    <row r="48" spans="1:24" ht="15" customHeight="1" x14ac:dyDescent="0.2">
      <c r="D48" s="21"/>
      <c r="E48" s="22"/>
      <c r="F48" s="26"/>
      <c r="G48" s="31"/>
      <c r="H48" s="26"/>
      <c r="I48" s="26"/>
      <c r="J48" s="26"/>
      <c r="K48" s="32"/>
      <c r="L48" s="26"/>
      <c r="M48" s="31"/>
      <c r="N48" s="26"/>
      <c r="O48" s="26"/>
      <c r="P48" s="26"/>
      <c r="Q48" s="31"/>
      <c r="R48" s="26"/>
      <c r="S48" s="31"/>
      <c r="T48" s="26"/>
      <c r="U48" s="26"/>
      <c r="V48" s="26"/>
    </row>
    <row r="49" spans="4:22" ht="15" customHeight="1" x14ac:dyDescent="0.2">
      <c r="D49" s="21"/>
      <c r="E49" s="22"/>
      <c r="F49" s="26"/>
      <c r="G49" s="31"/>
      <c r="H49" s="26"/>
      <c r="I49" s="26"/>
      <c r="J49" s="26"/>
      <c r="K49" s="32"/>
      <c r="L49" s="26"/>
      <c r="M49" s="31"/>
      <c r="N49" s="26"/>
      <c r="O49" s="26"/>
      <c r="P49" s="26"/>
      <c r="Q49" s="31"/>
      <c r="R49" s="26"/>
      <c r="S49" s="31"/>
      <c r="T49" s="26"/>
      <c r="U49" s="26"/>
      <c r="V49" s="26"/>
    </row>
  </sheetData>
  <sheetProtection algorithmName="SHA-512" hashValue="sZ7nYLe272AVfntaJSp46GjnjicwGCB/k3GH2LzuKyJGf/pRzxSUbzBpOc0oHEwIti7eHn4TSZnCiNrMSDgODQ==" saltValue="kiWsfMnb00hwMpd916c15g==" spinCount="100000" sheet="1" objects="1" scenarios="1"/>
  <pageMargins left="0.25" right="0.25" top="0.75" bottom="0.75" header="0.3" footer="0.3"/>
  <pageSetup scale="43" orientation="landscape" horizontalDpi="1200" verticalDpi="1200" r:id="rId1"/>
  <customProperties>
    <customPr name="Guid" r:id="rId2"/>
    <customPr name="UniqueName" r:id="rId3"/>
  </customPropertie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556D9D-1FD8-4F58-B3D8-EC91E0815FED}">
  <sheetPr>
    <tabColor theme="2"/>
  </sheetPr>
  <dimension ref="A1:AN11"/>
  <sheetViews>
    <sheetView showGridLines="0" workbookViewId="0"/>
  </sheetViews>
  <sheetFormatPr defaultRowHeight="12.75" x14ac:dyDescent="0.2"/>
  <cols>
    <col min="2" max="5" width="12.5703125" customWidth="1"/>
    <col min="7" max="10" width="13.42578125" customWidth="1"/>
    <col min="12" max="15" width="13.42578125" customWidth="1"/>
  </cols>
  <sheetData>
    <row r="1" spans="1:40" s="4" customFormat="1" ht="24.95" customHeight="1" thickBot="1" x14ac:dyDescent="0.25">
      <c r="A1" s="1" t="s">
        <v>15</v>
      </c>
      <c r="B1" s="2"/>
      <c r="C1" s="2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</row>
    <row r="2" spans="1:40" s="4" customFormat="1" ht="24.95" customHeight="1" x14ac:dyDescent="0.2">
      <c r="A2" s="8" t="str">
        <f ca="1">MID(CELL("filename",A1),FIND("]",CELL("filename",A1))+1,255)</f>
        <v>IRR</v>
      </c>
      <c r="B2" s="5"/>
      <c r="C2" s="5"/>
    </row>
    <row r="3" spans="1:40" ht="13.5" thickBot="1" x14ac:dyDescent="0.25"/>
    <row r="4" spans="1:40" ht="13.5" thickBot="1" x14ac:dyDescent="0.25">
      <c r="B4" s="10" t="s">
        <v>6</v>
      </c>
      <c r="C4" s="10"/>
      <c r="D4" s="10"/>
      <c r="E4" s="10"/>
      <c r="G4" s="10" t="s">
        <v>7</v>
      </c>
      <c r="H4" s="10"/>
      <c r="I4" s="10"/>
      <c r="J4" s="10"/>
      <c r="L4" s="10" t="s">
        <v>8</v>
      </c>
      <c r="M4" s="10"/>
      <c r="N4" s="10"/>
      <c r="O4" s="10"/>
    </row>
    <row r="5" spans="1:40" ht="5.0999999999999996" customHeight="1" x14ac:dyDescent="0.2"/>
    <row r="6" spans="1:40" x14ac:dyDescent="0.2">
      <c r="B6" s="115">
        <f>+'Warrants Worked Example'!F21</f>
        <v>44519</v>
      </c>
      <c r="C6" s="95">
        <v>44651</v>
      </c>
      <c r="D6" s="95">
        <v>44834</v>
      </c>
      <c r="E6" s="115">
        <f>+'Warrants Worked Example'!F22</f>
        <v>45657</v>
      </c>
      <c r="G6" s="97">
        <f>+B6</f>
        <v>44519</v>
      </c>
      <c r="H6" s="95">
        <v>44651</v>
      </c>
      <c r="I6" s="95">
        <v>44834</v>
      </c>
      <c r="J6" s="115">
        <f>+'Warrants Worked Example'!L22</f>
        <v>46022</v>
      </c>
      <c r="L6" s="97">
        <f>+G6</f>
        <v>44519</v>
      </c>
      <c r="M6" s="95">
        <v>44651</v>
      </c>
      <c r="N6" s="95">
        <v>44834</v>
      </c>
      <c r="O6" s="115">
        <f>+'Warrants Worked Example'!R22</f>
        <v>46387</v>
      </c>
    </row>
    <row r="7" spans="1:40" x14ac:dyDescent="0.2">
      <c r="B7" s="110">
        <f>-'Warrants Worked Example'!F23</f>
        <v>-481.959</v>
      </c>
      <c r="C7" s="26">
        <v>14.030361999999998</v>
      </c>
      <c r="D7" s="26">
        <v>19.488815429999999</v>
      </c>
      <c r="E7" s="26">
        <v>697.83600000000001</v>
      </c>
      <c r="G7" s="27">
        <f>+B7</f>
        <v>-481.959</v>
      </c>
      <c r="H7" s="26">
        <v>14.030361999999998</v>
      </c>
      <c r="I7" s="26">
        <v>19.488815429999999</v>
      </c>
      <c r="J7" s="26">
        <v>802.51179999999999</v>
      </c>
      <c r="L7" s="27">
        <f>+G7</f>
        <v>-481.959</v>
      </c>
      <c r="M7" s="26">
        <v>14.030361999999998</v>
      </c>
      <c r="N7" s="26">
        <v>19.488815429999999</v>
      </c>
      <c r="O7" s="26">
        <v>922.8886</v>
      </c>
    </row>
    <row r="9" spans="1:40" x14ac:dyDescent="0.2">
      <c r="B9" s="114" t="s">
        <v>81</v>
      </c>
      <c r="C9" s="116">
        <f>+XIRR(B7:E7,B6:E6)</f>
        <v>0.14999979138374331</v>
      </c>
      <c r="D9" s="113"/>
      <c r="E9" s="112"/>
      <c r="F9" s="112"/>
      <c r="G9" s="114" t="s">
        <v>81</v>
      </c>
      <c r="H9" s="116">
        <f>+XIRR(G7:J7,G6:J6)</f>
        <v>0.1499999821186066</v>
      </c>
      <c r="I9" s="113"/>
      <c r="J9" s="112"/>
      <c r="K9" s="112"/>
      <c r="L9" s="114" t="s">
        <v>81</v>
      </c>
      <c r="M9" s="116">
        <f>+XIRR(L7:O7,L6:O6)</f>
        <v>0.14999999403953554</v>
      </c>
      <c r="N9" s="113"/>
    </row>
    <row r="11" spans="1:40" x14ac:dyDescent="0.2">
      <c r="B11" s="26"/>
    </row>
  </sheetData>
  <sheetProtection algorithmName="SHA-512" hashValue="FFKl+Ajvr1qGG8u9yYepS4SgoPTl7wBlTzvxr5qjnEYYLrf1xs+74u131+B+4zH7PCwgXcJnXFtIDqwxZL0hdA==" saltValue="FBrsliGdjRNpT3PMk34fdA==" spinCount="100000" sheet="1" objects="1" scenarios="1"/>
  <pageMargins left="0.7" right="0.7" top="0.75" bottom="0.75" header="0.3" footer="0.3"/>
  <customProperties>
    <customPr name="UniqueName" r:id="rId1"/>
  </customProperties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5E8EEA-1C92-4773-B3EA-EF3FE94703F8}">
  <sheetPr>
    <tabColor theme="2"/>
    <pageSetUpPr fitToPage="1"/>
  </sheetPr>
  <dimension ref="A1:BG42"/>
  <sheetViews>
    <sheetView showGridLines="0" zoomScale="85" zoomScaleNormal="85" zoomScaleSheetLayoutView="100" workbookViewId="0"/>
  </sheetViews>
  <sheetFormatPr defaultColWidth="9.5703125" defaultRowHeight="15" customHeight="1" x14ac:dyDescent="0.2"/>
  <cols>
    <col min="1" max="1" width="2.42578125" style="4" customWidth="1"/>
    <col min="2" max="3" width="3.5703125" style="7" customWidth="1"/>
    <col min="4" max="4" width="50.42578125" style="5" customWidth="1"/>
    <col min="5" max="59" width="10.5703125" style="4" customWidth="1"/>
    <col min="60" max="16384" width="9.5703125" style="4"/>
  </cols>
  <sheetData>
    <row r="1" spans="1:59" ht="24.95" customHeight="1" thickBot="1" x14ac:dyDescent="0.25">
      <c r="A1" s="1" t="s">
        <v>15</v>
      </c>
      <c r="B1" s="2"/>
      <c r="C1" s="2"/>
      <c r="D1" s="2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</row>
    <row r="2" spans="1:59" ht="24.95" customHeight="1" x14ac:dyDescent="0.2">
      <c r="A2" s="8" t="str">
        <f ca="1">MID(CELL("filename",A1),FIND("]",CELL("filename",A1))+1,255)</f>
        <v>Debt</v>
      </c>
      <c r="B2" s="4"/>
      <c r="C2" s="4"/>
    </row>
    <row r="3" spans="1:59" ht="15" customHeight="1" x14ac:dyDescent="0.2">
      <c r="B3" s="6"/>
      <c r="C3" s="6"/>
      <c r="H3" s="101"/>
      <c r="I3" s="99">
        <f>+H4+1</f>
        <v>45566</v>
      </c>
      <c r="J3" s="99">
        <f t="shared" ref="J3:AU3" si="0">+I4+1</f>
        <v>45597</v>
      </c>
      <c r="K3" s="99">
        <f t="shared" si="0"/>
        <v>45627</v>
      </c>
      <c r="L3" s="99">
        <f t="shared" si="0"/>
        <v>45658</v>
      </c>
      <c r="M3" s="99">
        <f t="shared" si="0"/>
        <v>45689</v>
      </c>
      <c r="N3" s="99">
        <f t="shared" si="0"/>
        <v>45717</v>
      </c>
      <c r="O3" s="99">
        <f t="shared" si="0"/>
        <v>45748</v>
      </c>
      <c r="P3" s="99">
        <f t="shared" si="0"/>
        <v>45778</v>
      </c>
      <c r="Q3" s="99">
        <f t="shared" si="0"/>
        <v>45809</v>
      </c>
      <c r="R3" s="99">
        <f t="shared" si="0"/>
        <v>45839</v>
      </c>
      <c r="S3" s="99">
        <f t="shared" si="0"/>
        <v>45870</v>
      </c>
      <c r="T3" s="99">
        <f t="shared" si="0"/>
        <v>45901</v>
      </c>
      <c r="U3" s="99">
        <f t="shared" si="0"/>
        <v>45931</v>
      </c>
      <c r="V3" s="99">
        <f t="shared" si="0"/>
        <v>45962</v>
      </c>
      <c r="W3" s="99">
        <f t="shared" si="0"/>
        <v>45992</v>
      </c>
      <c r="X3" s="99">
        <f t="shared" si="0"/>
        <v>46023</v>
      </c>
      <c r="Y3" s="99">
        <f t="shared" si="0"/>
        <v>46054</v>
      </c>
      <c r="Z3" s="99">
        <f t="shared" si="0"/>
        <v>46082</v>
      </c>
      <c r="AA3" s="99">
        <f t="shared" si="0"/>
        <v>46113</v>
      </c>
      <c r="AB3" s="99">
        <f t="shared" si="0"/>
        <v>46143</v>
      </c>
      <c r="AC3" s="99">
        <f t="shared" si="0"/>
        <v>46174</v>
      </c>
      <c r="AD3" s="99">
        <f t="shared" si="0"/>
        <v>46204</v>
      </c>
      <c r="AE3" s="99">
        <f t="shared" si="0"/>
        <v>46235</v>
      </c>
      <c r="AF3" s="99">
        <f t="shared" si="0"/>
        <v>46266</v>
      </c>
      <c r="AG3" s="99">
        <f t="shared" si="0"/>
        <v>46296</v>
      </c>
      <c r="AH3" s="99">
        <f t="shared" si="0"/>
        <v>46327</v>
      </c>
      <c r="AI3" s="99">
        <f t="shared" si="0"/>
        <v>46357</v>
      </c>
      <c r="AJ3" s="99">
        <f t="shared" si="0"/>
        <v>46388</v>
      </c>
      <c r="AK3" s="99">
        <f t="shared" si="0"/>
        <v>46419</v>
      </c>
      <c r="AL3" s="99">
        <f t="shared" si="0"/>
        <v>46447</v>
      </c>
      <c r="AM3" s="99">
        <f t="shared" si="0"/>
        <v>46478</v>
      </c>
      <c r="AN3" s="99">
        <f t="shared" si="0"/>
        <v>46508</v>
      </c>
      <c r="AO3" s="99">
        <f t="shared" si="0"/>
        <v>46539</v>
      </c>
      <c r="AP3" s="99">
        <f t="shared" si="0"/>
        <v>46569</v>
      </c>
      <c r="AQ3" s="99">
        <f t="shared" si="0"/>
        <v>46600</v>
      </c>
      <c r="AR3" s="99">
        <f t="shared" si="0"/>
        <v>46631</v>
      </c>
      <c r="AS3" s="99">
        <f t="shared" si="0"/>
        <v>46661</v>
      </c>
      <c r="AT3" s="99">
        <f t="shared" si="0"/>
        <v>46692</v>
      </c>
      <c r="AU3" s="99">
        <f t="shared" si="0"/>
        <v>46722</v>
      </c>
      <c r="AV3" s="99">
        <f t="shared" ref="AV3" si="1">+AU4+1</f>
        <v>46753</v>
      </c>
      <c r="AW3" s="99">
        <f t="shared" ref="AW3" si="2">+AV4+1</f>
        <v>46784</v>
      </c>
      <c r="AX3" s="99">
        <f t="shared" ref="AX3" si="3">+AW4+1</f>
        <v>46813</v>
      </c>
      <c r="AY3" s="99">
        <f t="shared" ref="AY3" si="4">+AX4+1</f>
        <v>46844</v>
      </c>
      <c r="AZ3" s="99">
        <f t="shared" ref="AZ3" si="5">+AY4+1</f>
        <v>46874</v>
      </c>
      <c r="BA3" s="99">
        <f t="shared" ref="BA3" si="6">+AZ4+1</f>
        <v>46905</v>
      </c>
      <c r="BB3" s="99">
        <f t="shared" ref="BB3" si="7">+BA4+1</f>
        <v>46935</v>
      </c>
      <c r="BC3" s="99">
        <f t="shared" ref="BC3" si="8">+BB4+1</f>
        <v>46966</v>
      </c>
      <c r="BD3" s="99">
        <f t="shared" ref="BD3" si="9">+BC4+1</f>
        <v>46997</v>
      </c>
      <c r="BE3" s="99">
        <f t="shared" ref="BE3" si="10">+BD4+1</f>
        <v>47027</v>
      </c>
      <c r="BF3" s="99">
        <f t="shared" ref="BF3:BG3" si="11">+BE4+1</f>
        <v>47058</v>
      </c>
      <c r="BG3" s="99">
        <f t="shared" si="11"/>
        <v>47088</v>
      </c>
    </row>
    <row r="4" spans="1:59" ht="15" customHeight="1" x14ac:dyDescent="0.2">
      <c r="H4" s="100">
        <v>45565</v>
      </c>
      <c r="I4" s="99">
        <f>+EOMONTH(I3,0)</f>
        <v>45596</v>
      </c>
      <c r="J4" s="99">
        <f t="shared" ref="J4:AC4" si="12">+EOMONTH(J3,0)</f>
        <v>45626</v>
      </c>
      <c r="K4" s="99">
        <f t="shared" si="12"/>
        <v>45657</v>
      </c>
      <c r="L4" s="99">
        <f t="shared" si="12"/>
        <v>45688</v>
      </c>
      <c r="M4" s="99">
        <f t="shared" si="12"/>
        <v>45716</v>
      </c>
      <c r="N4" s="99">
        <f t="shared" si="12"/>
        <v>45747</v>
      </c>
      <c r="O4" s="99">
        <f t="shared" si="12"/>
        <v>45777</v>
      </c>
      <c r="P4" s="99">
        <f t="shared" si="12"/>
        <v>45808</v>
      </c>
      <c r="Q4" s="99">
        <f t="shared" si="12"/>
        <v>45838</v>
      </c>
      <c r="R4" s="99">
        <f t="shared" si="12"/>
        <v>45869</v>
      </c>
      <c r="S4" s="99">
        <f t="shared" si="12"/>
        <v>45900</v>
      </c>
      <c r="T4" s="99">
        <f t="shared" si="12"/>
        <v>45930</v>
      </c>
      <c r="U4" s="99">
        <f t="shared" si="12"/>
        <v>45961</v>
      </c>
      <c r="V4" s="99">
        <f t="shared" si="12"/>
        <v>45991</v>
      </c>
      <c r="W4" s="99">
        <f t="shared" si="12"/>
        <v>46022</v>
      </c>
      <c r="X4" s="99">
        <f t="shared" si="12"/>
        <v>46053</v>
      </c>
      <c r="Y4" s="99">
        <f t="shared" si="12"/>
        <v>46081</v>
      </c>
      <c r="Z4" s="99">
        <f t="shared" si="12"/>
        <v>46112</v>
      </c>
      <c r="AA4" s="99">
        <f t="shared" si="12"/>
        <v>46142</v>
      </c>
      <c r="AB4" s="99">
        <f t="shared" si="12"/>
        <v>46173</v>
      </c>
      <c r="AC4" s="99">
        <f t="shared" si="12"/>
        <v>46203</v>
      </c>
      <c r="AD4" s="99">
        <f t="shared" ref="AD4" si="13">+EOMONTH(AD3,0)</f>
        <v>46234</v>
      </c>
      <c r="AE4" s="99">
        <f t="shared" ref="AE4" si="14">+EOMONTH(AE3,0)</f>
        <v>46265</v>
      </c>
      <c r="AF4" s="99">
        <f t="shared" ref="AF4" si="15">+EOMONTH(AF3,0)</f>
        <v>46295</v>
      </c>
      <c r="AG4" s="99">
        <f t="shared" ref="AG4" si="16">+EOMONTH(AG3,0)</f>
        <v>46326</v>
      </c>
      <c r="AH4" s="99">
        <f t="shared" ref="AH4" si="17">+EOMONTH(AH3,0)</f>
        <v>46356</v>
      </c>
      <c r="AI4" s="99">
        <f t="shared" ref="AI4" si="18">+EOMONTH(AI3,0)</f>
        <v>46387</v>
      </c>
      <c r="AJ4" s="99">
        <f t="shared" ref="AJ4" si="19">+EOMONTH(AJ3,0)</f>
        <v>46418</v>
      </c>
      <c r="AK4" s="99">
        <f t="shared" ref="AK4" si="20">+EOMONTH(AK3,0)</f>
        <v>46446</v>
      </c>
      <c r="AL4" s="99">
        <f t="shared" ref="AL4" si="21">+EOMONTH(AL3,0)</f>
        <v>46477</v>
      </c>
      <c r="AM4" s="99">
        <f t="shared" ref="AM4" si="22">+EOMONTH(AM3,0)</f>
        <v>46507</v>
      </c>
      <c r="AN4" s="99">
        <f t="shared" ref="AN4" si="23">+EOMONTH(AN3,0)</f>
        <v>46538</v>
      </c>
      <c r="AO4" s="99">
        <f t="shared" ref="AO4" si="24">+EOMONTH(AO3,0)</f>
        <v>46568</v>
      </c>
      <c r="AP4" s="99">
        <f t="shared" ref="AP4" si="25">+EOMONTH(AP3,0)</f>
        <v>46599</v>
      </c>
      <c r="AQ4" s="99">
        <f t="shared" ref="AQ4" si="26">+EOMONTH(AQ3,0)</f>
        <v>46630</v>
      </c>
      <c r="AR4" s="99">
        <f t="shared" ref="AR4" si="27">+EOMONTH(AR3,0)</f>
        <v>46660</v>
      </c>
      <c r="AS4" s="99">
        <f t="shared" ref="AS4" si="28">+EOMONTH(AS3,0)</f>
        <v>46691</v>
      </c>
      <c r="AT4" s="99">
        <f t="shared" ref="AT4" si="29">+EOMONTH(AT3,0)</f>
        <v>46721</v>
      </c>
      <c r="AU4" s="99">
        <f t="shared" ref="AU4:BF4" si="30">+EOMONTH(AU3,0)</f>
        <v>46752</v>
      </c>
      <c r="AV4" s="99">
        <f t="shared" si="30"/>
        <v>46783</v>
      </c>
      <c r="AW4" s="99">
        <f t="shared" si="30"/>
        <v>46812</v>
      </c>
      <c r="AX4" s="99">
        <f t="shared" si="30"/>
        <v>46843</v>
      </c>
      <c r="AY4" s="99">
        <f t="shared" si="30"/>
        <v>46873</v>
      </c>
      <c r="AZ4" s="99">
        <f t="shared" si="30"/>
        <v>46904</v>
      </c>
      <c r="BA4" s="99">
        <f t="shared" si="30"/>
        <v>46934</v>
      </c>
      <c r="BB4" s="99">
        <f t="shared" si="30"/>
        <v>46965</v>
      </c>
      <c r="BC4" s="99">
        <f t="shared" si="30"/>
        <v>46996</v>
      </c>
      <c r="BD4" s="99">
        <f t="shared" si="30"/>
        <v>47026</v>
      </c>
      <c r="BE4" s="99">
        <f t="shared" si="30"/>
        <v>47057</v>
      </c>
      <c r="BF4" s="99">
        <f t="shared" si="30"/>
        <v>47087</v>
      </c>
      <c r="BG4" s="99">
        <f t="shared" ref="BG4" si="31">+EOMONTH(BG3,0)</f>
        <v>47118</v>
      </c>
    </row>
    <row r="5" spans="1:59" ht="15" customHeight="1" x14ac:dyDescent="0.2">
      <c r="D5" s="5" t="s">
        <v>57</v>
      </c>
      <c r="H5" s="101"/>
      <c r="I5" s="4">
        <f>DAYS360(I3,I4+1)</f>
        <v>30</v>
      </c>
      <c r="J5" s="4">
        <f t="shared" ref="J5:AU5" si="32">DAYS360(J3,J4+1)</f>
        <v>30</v>
      </c>
      <c r="K5" s="4">
        <f t="shared" si="32"/>
        <v>30</v>
      </c>
      <c r="L5" s="4">
        <f t="shared" si="32"/>
        <v>30</v>
      </c>
      <c r="M5" s="4">
        <f t="shared" si="32"/>
        <v>30</v>
      </c>
      <c r="N5" s="4">
        <f t="shared" si="32"/>
        <v>30</v>
      </c>
      <c r="O5" s="4">
        <f t="shared" si="32"/>
        <v>30</v>
      </c>
      <c r="P5" s="4">
        <f t="shared" si="32"/>
        <v>30</v>
      </c>
      <c r="Q5" s="4">
        <f t="shared" si="32"/>
        <v>30</v>
      </c>
      <c r="R5" s="4">
        <f t="shared" si="32"/>
        <v>30</v>
      </c>
      <c r="S5" s="4">
        <f t="shared" si="32"/>
        <v>30</v>
      </c>
      <c r="T5" s="4">
        <f t="shared" si="32"/>
        <v>30</v>
      </c>
      <c r="U5" s="4">
        <f t="shared" si="32"/>
        <v>30</v>
      </c>
      <c r="V5" s="4">
        <f t="shared" si="32"/>
        <v>30</v>
      </c>
      <c r="W5" s="4">
        <f t="shared" si="32"/>
        <v>30</v>
      </c>
      <c r="X5" s="4">
        <f t="shared" si="32"/>
        <v>30</v>
      </c>
      <c r="Y5" s="4">
        <f t="shared" si="32"/>
        <v>30</v>
      </c>
      <c r="Z5" s="4">
        <f t="shared" si="32"/>
        <v>30</v>
      </c>
      <c r="AA5" s="4">
        <f t="shared" si="32"/>
        <v>30</v>
      </c>
      <c r="AB5" s="4">
        <f t="shared" si="32"/>
        <v>30</v>
      </c>
      <c r="AC5" s="4">
        <f t="shared" si="32"/>
        <v>30</v>
      </c>
      <c r="AD5" s="4">
        <f t="shared" si="32"/>
        <v>30</v>
      </c>
      <c r="AE5" s="4">
        <f t="shared" si="32"/>
        <v>30</v>
      </c>
      <c r="AF5" s="4">
        <f t="shared" si="32"/>
        <v>30</v>
      </c>
      <c r="AG5" s="4">
        <f t="shared" si="32"/>
        <v>30</v>
      </c>
      <c r="AH5" s="4">
        <f t="shared" si="32"/>
        <v>30</v>
      </c>
      <c r="AI5" s="4">
        <f t="shared" si="32"/>
        <v>30</v>
      </c>
      <c r="AJ5" s="4">
        <f t="shared" si="32"/>
        <v>30</v>
      </c>
      <c r="AK5" s="4">
        <f t="shared" si="32"/>
        <v>30</v>
      </c>
      <c r="AL5" s="4">
        <f t="shared" si="32"/>
        <v>30</v>
      </c>
      <c r="AM5" s="4">
        <f t="shared" si="32"/>
        <v>30</v>
      </c>
      <c r="AN5" s="4">
        <f t="shared" si="32"/>
        <v>30</v>
      </c>
      <c r="AO5" s="4">
        <f t="shared" si="32"/>
        <v>30</v>
      </c>
      <c r="AP5" s="4">
        <f t="shared" si="32"/>
        <v>30</v>
      </c>
      <c r="AQ5" s="4">
        <f t="shared" si="32"/>
        <v>30</v>
      </c>
      <c r="AR5" s="4">
        <f t="shared" si="32"/>
        <v>30</v>
      </c>
      <c r="AS5" s="4">
        <f t="shared" si="32"/>
        <v>30</v>
      </c>
      <c r="AT5" s="4">
        <f t="shared" si="32"/>
        <v>30</v>
      </c>
      <c r="AU5" s="4">
        <f t="shared" si="32"/>
        <v>30</v>
      </c>
      <c r="AV5" s="4">
        <f t="shared" ref="AV5:BG5" si="33">DAYS360(AV3,AV4+1)</f>
        <v>30</v>
      </c>
      <c r="AW5" s="4">
        <f t="shared" si="33"/>
        <v>30</v>
      </c>
      <c r="AX5" s="4">
        <f t="shared" si="33"/>
        <v>30</v>
      </c>
      <c r="AY5" s="4">
        <f t="shared" si="33"/>
        <v>30</v>
      </c>
      <c r="AZ5" s="4">
        <f t="shared" si="33"/>
        <v>30</v>
      </c>
      <c r="BA5" s="4">
        <f t="shared" si="33"/>
        <v>30</v>
      </c>
      <c r="BB5" s="4">
        <f t="shared" si="33"/>
        <v>30</v>
      </c>
      <c r="BC5" s="4">
        <f t="shared" si="33"/>
        <v>30</v>
      </c>
      <c r="BD5" s="4">
        <f t="shared" si="33"/>
        <v>30</v>
      </c>
      <c r="BE5" s="4">
        <f t="shared" si="33"/>
        <v>30</v>
      </c>
      <c r="BF5" s="4">
        <f t="shared" si="33"/>
        <v>30</v>
      </c>
      <c r="BG5" s="4">
        <f t="shared" si="33"/>
        <v>30</v>
      </c>
    </row>
    <row r="6" spans="1:59" ht="15" customHeight="1" x14ac:dyDescent="0.2">
      <c r="D6" s="5" t="s">
        <v>58</v>
      </c>
      <c r="H6" s="4">
        <v>360</v>
      </c>
      <c r="I6" s="4">
        <f>+H6</f>
        <v>360</v>
      </c>
      <c r="J6" s="4">
        <f t="shared" ref="J6:AU6" si="34">+I6</f>
        <v>360</v>
      </c>
      <c r="K6" s="4">
        <f t="shared" si="34"/>
        <v>360</v>
      </c>
      <c r="L6" s="4">
        <f t="shared" si="34"/>
        <v>360</v>
      </c>
      <c r="M6" s="4">
        <f t="shared" si="34"/>
        <v>360</v>
      </c>
      <c r="N6" s="4">
        <f t="shared" si="34"/>
        <v>360</v>
      </c>
      <c r="O6" s="4">
        <f t="shared" si="34"/>
        <v>360</v>
      </c>
      <c r="P6" s="4">
        <f t="shared" si="34"/>
        <v>360</v>
      </c>
      <c r="Q6" s="4">
        <f t="shared" si="34"/>
        <v>360</v>
      </c>
      <c r="R6" s="4">
        <f t="shared" si="34"/>
        <v>360</v>
      </c>
      <c r="S6" s="4">
        <f t="shared" si="34"/>
        <v>360</v>
      </c>
      <c r="T6" s="4">
        <f t="shared" si="34"/>
        <v>360</v>
      </c>
      <c r="U6" s="4">
        <f t="shared" si="34"/>
        <v>360</v>
      </c>
      <c r="V6" s="4">
        <f t="shared" si="34"/>
        <v>360</v>
      </c>
      <c r="W6" s="4">
        <f t="shared" si="34"/>
        <v>360</v>
      </c>
      <c r="X6" s="4">
        <f t="shared" si="34"/>
        <v>360</v>
      </c>
      <c r="Y6" s="4">
        <f t="shared" si="34"/>
        <v>360</v>
      </c>
      <c r="Z6" s="4">
        <f t="shared" si="34"/>
        <v>360</v>
      </c>
      <c r="AA6" s="4">
        <f t="shared" si="34"/>
        <v>360</v>
      </c>
      <c r="AB6" s="4">
        <f t="shared" si="34"/>
        <v>360</v>
      </c>
      <c r="AC6" s="4">
        <f t="shared" si="34"/>
        <v>360</v>
      </c>
      <c r="AD6" s="4">
        <f t="shared" si="34"/>
        <v>360</v>
      </c>
      <c r="AE6" s="4">
        <f t="shared" si="34"/>
        <v>360</v>
      </c>
      <c r="AF6" s="4">
        <f t="shared" si="34"/>
        <v>360</v>
      </c>
      <c r="AG6" s="4">
        <f t="shared" si="34"/>
        <v>360</v>
      </c>
      <c r="AH6" s="4">
        <f t="shared" si="34"/>
        <v>360</v>
      </c>
      <c r="AI6" s="4">
        <f t="shared" si="34"/>
        <v>360</v>
      </c>
      <c r="AJ6" s="4">
        <f t="shared" si="34"/>
        <v>360</v>
      </c>
      <c r="AK6" s="4">
        <f t="shared" si="34"/>
        <v>360</v>
      </c>
      <c r="AL6" s="4">
        <f t="shared" si="34"/>
        <v>360</v>
      </c>
      <c r="AM6" s="4">
        <f t="shared" si="34"/>
        <v>360</v>
      </c>
      <c r="AN6" s="4">
        <f t="shared" si="34"/>
        <v>360</v>
      </c>
      <c r="AO6" s="4">
        <f t="shared" si="34"/>
        <v>360</v>
      </c>
      <c r="AP6" s="4">
        <f t="shared" si="34"/>
        <v>360</v>
      </c>
      <c r="AQ6" s="4">
        <f t="shared" si="34"/>
        <v>360</v>
      </c>
      <c r="AR6" s="4">
        <f t="shared" si="34"/>
        <v>360</v>
      </c>
      <c r="AS6" s="4">
        <f t="shared" si="34"/>
        <v>360</v>
      </c>
      <c r="AT6" s="4">
        <f t="shared" si="34"/>
        <v>360</v>
      </c>
      <c r="AU6" s="4">
        <f t="shared" si="34"/>
        <v>360</v>
      </c>
      <c r="AV6" s="4">
        <f t="shared" ref="AV6" si="35">+AU6</f>
        <v>360</v>
      </c>
      <c r="AW6" s="4">
        <f t="shared" ref="AW6" si="36">+AV6</f>
        <v>360</v>
      </c>
      <c r="AX6" s="4">
        <f t="shared" ref="AX6" si="37">+AW6</f>
        <v>360</v>
      </c>
      <c r="AY6" s="4">
        <f t="shared" ref="AY6" si="38">+AX6</f>
        <v>360</v>
      </c>
      <c r="AZ6" s="4">
        <f t="shared" ref="AZ6" si="39">+AY6</f>
        <v>360</v>
      </c>
      <c r="BA6" s="4">
        <f t="shared" ref="BA6" si="40">+AZ6</f>
        <v>360</v>
      </c>
      <c r="BB6" s="4">
        <f t="shared" ref="BB6" si="41">+BA6</f>
        <v>360</v>
      </c>
      <c r="BC6" s="4">
        <f t="shared" ref="BC6" si="42">+BB6</f>
        <v>360</v>
      </c>
      <c r="BD6" s="4">
        <f t="shared" ref="BD6" si="43">+BC6</f>
        <v>360</v>
      </c>
      <c r="BE6" s="4">
        <f t="shared" ref="BE6" si="44">+BD6</f>
        <v>360</v>
      </c>
      <c r="BF6" s="4">
        <f t="shared" ref="BF6:BG6" si="45">+BE6</f>
        <v>360</v>
      </c>
      <c r="BG6" s="4">
        <f t="shared" si="45"/>
        <v>360</v>
      </c>
    </row>
    <row r="7" spans="1:59" ht="15" customHeight="1" x14ac:dyDescent="0.2">
      <c r="D7" s="5" t="s">
        <v>59</v>
      </c>
      <c r="H7" s="101"/>
      <c r="I7" s="102">
        <f>+I5/I6</f>
        <v>8.3333333333333329E-2</v>
      </c>
      <c r="J7" s="102">
        <f t="shared" ref="J7:AU7" si="46">+J5/J6</f>
        <v>8.3333333333333329E-2</v>
      </c>
      <c r="K7" s="102">
        <f t="shared" si="46"/>
        <v>8.3333333333333329E-2</v>
      </c>
      <c r="L7" s="102">
        <f t="shared" si="46"/>
        <v>8.3333333333333329E-2</v>
      </c>
      <c r="M7" s="102">
        <f t="shared" si="46"/>
        <v>8.3333333333333329E-2</v>
      </c>
      <c r="N7" s="102">
        <f t="shared" si="46"/>
        <v>8.3333333333333329E-2</v>
      </c>
      <c r="O7" s="102">
        <f t="shared" si="46"/>
        <v>8.3333333333333329E-2</v>
      </c>
      <c r="P7" s="102">
        <f t="shared" si="46"/>
        <v>8.3333333333333329E-2</v>
      </c>
      <c r="Q7" s="102">
        <f t="shared" si="46"/>
        <v>8.3333333333333329E-2</v>
      </c>
      <c r="R7" s="102">
        <f t="shared" si="46"/>
        <v>8.3333333333333329E-2</v>
      </c>
      <c r="S7" s="102">
        <f t="shared" si="46"/>
        <v>8.3333333333333329E-2</v>
      </c>
      <c r="T7" s="102">
        <f t="shared" si="46"/>
        <v>8.3333333333333329E-2</v>
      </c>
      <c r="U7" s="102">
        <f t="shared" si="46"/>
        <v>8.3333333333333329E-2</v>
      </c>
      <c r="V7" s="102">
        <f t="shared" si="46"/>
        <v>8.3333333333333329E-2</v>
      </c>
      <c r="W7" s="102">
        <f t="shared" si="46"/>
        <v>8.3333333333333329E-2</v>
      </c>
      <c r="X7" s="102">
        <f t="shared" si="46"/>
        <v>8.3333333333333329E-2</v>
      </c>
      <c r="Y7" s="102">
        <f t="shared" si="46"/>
        <v>8.3333333333333329E-2</v>
      </c>
      <c r="Z7" s="102">
        <f t="shared" si="46"/>
        <v>8.3333333333333329E-2</v>
      </c>
      <c r="AA7" s="102">
        <f t="shared" si="46"/>
        <v>8.3333333333333329E-2</v>
      </c>
      <c r="AB7" s="102">
        <f t="shared" si="46"/>
        <v>8.3333333333333329E-2</v>
      </c>
      <c r="AC7" s="102">
        <f t="shared" si="46"/>
        <v>8.3333333333333329E-2</v>
      </c>
      <c r="AD7" s="102">
        <f t="shared" si="46"/>
        <v>8.3333333333333329E-2</v>
      </c>
      <c r="AE7" s="102">
        <f t="shared" si="46"/>
        <v>8.3333333333333329E-2</v>
      </c>
      <c r="AF7" s="102">
        <f t="shared" si="46"/>
        <v>8.3333333333333329E-2</v>
      </c>
      <c r="AG7" s="102">
        <f t="shared" si="46"/>
        <v>8.3333333333333329E-2</v>
      </c>
      <c r="AH7" s="102">
        <f t="shared" si="46"/>
        <v>8.3333333333333329E-2</v>
      </c>
      <c r="AI7" s="102">
        <f t="shared" si="46"/>
        <v>8.3333333333333329E-2</v>
      </c>
      <c r="AJ7" s="102">
        <f t="shared" si="46"/>
        <v>8.3333333333333329E-2</v>
      </c>
      <c r="AK7" s="102">
        <f t="shared" si="46"/>
        <v>8.3333333333333329E-2</v>
      </c>
      <c r="AL7" s="102">
        <f t="shared" si="46"/>
        <v>8.3333333333333329E-2</v>
      </c>
      <c r="AM7" s="102">
        <f t="shared" si="46"/>
        <v>8.3333333333333329E-2</v>
      </c>
      <c r="AN7" s="102">
        <f t="shared" si="46"/>
        <v>8.3333333333333329E-2</v>
      </c>
      <c r="AO7" s="102">
        <f t="shared" si="46"/>
        <v>8.3333333333333329E-2</v>
      </c>
      <c r="AP7" s="102">
        <f t="shared" si="46"/>
        <v>8.3333333333333329E-2</v>
      </c>
      <c r="AQ7" s="102">
        <f t="shared" si="46"/>
        <v>8.3333333333333329E-2</v>
      </c>
      <c r="AR7" s="102">
        <f t="shared" si="46"/>
        <v>8.3333333333333329E-2</v>
      </c>
      <c r="AS7" s="102">
        <f t="shared" si="46"/>
        <v>8.3333333333333329E-2</v>
      </c>
      <c r="AT7" s="102">
        <f t="shared" si="46"/>
        <v>8.3333333333333329E-2</v>
      </c>
      <c r="AU7" s="102">
        <f t="shared" si="46"/>
        <v>8.3333333333333329E-2</v>
      </c>
      <c r="AV7" s="102">
        <f t="shared" ref="AV7:BG7" si="47">+AV5/AV6</f>
        <v>8.3333333333333329E-2</v>
      </c>
      <c r="AW7" s="102">
        <f t="shared" si="47"/>
        <v>8.3333333333333329E-2</v>
      </c>
      <c r="AX7" s="102">
        <f t="shared" si="47"/>
        <v>8.3333333333333329E-2</v>
      </c>
      <c r="AY7" s="102">
        <f t="shared" si="47"/>
        <v>8.3333333333333329E-2</v>
      </c>
      <c r="AZ7" s="102">
        <f t="shared" si="47"/>
        <v>8.3333333333333329E-2</v>
      </c>
      <c r="BA7" s="102">
        <f t="shared" si="47"/>
        <v>8.3333333333333329E-2</v>
      </c>
      <c r="BB7" s="102">
        <f t="shared" si="47"/>
        <v>8.3333333333333329E-2</v>
      </c>
      <c r="BC7" s="102">
        <f t="shared" si="47"/>
        <v>8.3333333333333329E-2</v>
      </c>
      <c r="BD7" s="102">
        <f t="shared" si="47"/>
        <v>8.3333333333333329E-2</v>
      </c>
      <c r="BE7" s="102">
        <f t="shared" si="47"/>
        <v>8.3333333333333329E-2</v>
      </c>
      <c r="BF7" s="102">
        <f t="shared" si="47"/>
        <v>8.3333333333333329E-2</v>
      </c>
      <c r="BG7" s="102">
        <f t="shared" si="47"/>
        <v>8.3333333333333329E-2</v>
      </c>
    </row>
    <row r="9" spans="1:59" ht="15" customHeight="1" x14ac:dyDescent="0.2">
      <c r="D9" s="103" t="s">
        <v>60</v>
      </c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</row>
    <row r="11" spans="1:59" ht="15" customHeight="1" x14ac:dyDescent="0.2">
      <c r="D11" s="5" t="s">
        <v>61</v>
      </c>
      <c r="H11" s="107"/>
      <c r="I11" s="4">
        <f>+H13</f>
        <v>128.27319587628867</v>
      </c>
      <c r="J11" s="4">
        <f t="shared" ref="J11:AU11" si="48">+I13</f>
        <v>128.27319587628867</v>
      </c>
      <c r="K11" s="4">
        <f t="shared" si="48"/>
        <v>128.27319587628867</v>
      </c>
      <c r="L11" s="4">
        <f t="shared" si="48"/>
        <v>128.27319587628867</v>
      </c>
      <c r="M11" s="4">
        <f t="shared" si="48"/>
        <v>128.27319587628867</v>
      </c>
      <c r="N11" s="4">
        <f t="shared" si="48"/>
        <v>128.27319587628867</v>
      </c>
      <c r="O11" s="4">
        <f t="shared" si="48"/>
        <v>130.19729381443301</v>
      </c>
      <c r="P11" s="4">
        <f t="shared" si="48"/>
        <v>130.19729381443301</v>
      </c>
      <c r="Q11" s="4">
        <f t="shared" si="48"/>
        <v>130.19729381443301</v>
      </c>
      <c r="R11" s="4">
        <f t="shared" si="48"/>
        <v>130.19729381443301</v>
      </c>
      <c r="S11" s="4">
        <f t="shared" si="48"/>
        <v>130.19729381443301</v>
      </c>
      <c r="T11" s="4">
        <f t="shared" si="48"/>
        <v>130.19729381443301</v>
      </c>
      <c r="U11" s="4">
        <f t="shared" si="48"/>
        <v>132.15025322164951</v>
      </c>
      <c r="V11" s="4">
        <f t="shared" si="48"/>
        <v>132.15025322164951</v>
      </c>
      <c r="W11" s="4">
        <f t="shared" si="48"/>
        <v>132.15025322164951</v>
      </c>
      <c r="X11" s="4">
        <f t="shared" si="48"/>
        <v>132.15025322164951</v>
      </c>
      <c r="Y11" s="4">
        <f t="shared" si="48"/>
        <v>132.15025322164951</v>
      </c>
      <c r="Z11" s="4">
        <f t="shared" si="48"/>
        <v>132.15025322164951</v>
      </c>
      <c r="AA11" s="4">
        <f t="shared" si="48"/>
        <v>134.13250701997424</v>
      </c>
      <c r="AB11" s="4">
        <f t="shared" si="48"/>
        <v>134.13250701997424</v>
      </c>
      <c r="AC11" s="4">
        <f t="shared" si="48"/>
        <v>134.13250701997424</v>
      </c>
      <c r="AD11" s="4">
        <f t="shared" si="48"/>
        <v>134.13250701997424</v>
      </c>
      <c r="AE11" s="4">
        <f t="shared" si="48"/>
        <v>134.13250701997424</v>
      </c>
      <c r="AF11" s="4">
        <f t="shared" si="48"/>
        <v>134.13250701997424</v>
      </c>
      <c r="AG11" s="4">
        <f t="shared" si="48"/>
        <v>136.14449462527386</v>
      </c>
      <c r="AH11" s="4">
        <f t="shared" si="48"/>
        <v>136.14449462527386</v>
      </c>
      <c r="AI11" s="4">
        <f t="shared" si="48"/>
        <v>136.14449462527386</v>
      </c>
      <c r="AJ11" s="4">
        <f t="shared" si="48"/>
        <v>136.14449462527386</v>
      </c>
      <c r="AK11" s="4">
        <f t="shared" si="48"/>
        <v>136.14449462527386</v>
      </c>
      <c r="AL11" s="4">
        <f t="shared" si="48"/>
        <v>136.14449462527386</v>
      </c>
      <c r="AM11" s="4">
        <f t="shared" si="48"/>
        <v>138.18666204465296</v>
      </c>
      <c r="AN11" s="4">
        <f t="shared" si="48"/>
        <v>138.18666204465296</v>
      </c>
      <c r="AO11" s="4">
        <f t="shared" si="48"/>
        <v>138.18666204465296</v>
      </c>
      <c r="AP11" s="4">
        <f t="shared" si="48"/>
        <v>138.18666204465296</v>
      </c>
      <c r="AQ11" s="4">
        <f t="shared" si="48"/>
        <v>138.18666204465296</v>
      </c>
      <c r="AR11" s="4">
        <f t="shared" si="48"/>
        <v>138.18666204465296</v>
      </c>
      <c r="AS11" s="4">
        <f t="shared" si="48"/>
        <v>140.25946197532275</v>
      </c>
      <c r="AT11" s="4">
        <f t="shared" si="48"/>
        <v>140.25946197532275</v>
      </c>
      <c r="AU11" s="4">
        <f t="shared" si="48"/>
        <v>140.25946197532275</v>
      </c>
      <c r="AV11" s="4">
        <f t="shared" ref="AV11" si="49">+AU13</f>
        <v>140.25946197532275</v>
      </c>
      <c r="AW11" s="4">
        <f t="shared" ref="AW11" si="50">+AV13</f>
        <v>140.25946197532275</v>
      </c>
      <c r="AX11" s="4">
        <f t="shared" ref="AX11" si="51">+AW13</f>
        <v>140.25946197532275</v>
      </c>
      <c r="AY11" s="4">
        <f t="shared" ref="AY11" si="52">+AX13</f>
        <v>142.36335390495259</v>
      </c>
      <c r="AZ11" s="4">
        <f t="shared" ref="AZ11" si="53">+AY13</f>
        <v>142.36335390495259</v>
      </c>
      <c r="BA11" s="4">
        <f t="shared" ref="BA11" si="54">+AZ13</f>
        <v>142.36335390495259</v>
      </c>
      <c r="BB11" s="4">
        <f t="shared" ref="BB11" si="55">+BA13</f>
        <v>142.36335390495259</v>
      </c>
      <c r="BC11" s="4">
        <f t="shared" ref="BC11" si="56">+BB13</f>
        <v>142.36335390495259</v>
      </c>
      <c r="BD11" s="4">
        <f t="shared" ref="BD11" si="57">+BC13</f>
        <v>142.36335390495259</v>
      </c>
      <c r="BE11" s="4">
        <f t="shared" ref="BE11" si="58">+BD13</f>
        <v>144.49880421352688</v>
      </c>
      <c r="BF11" s="4">
        <f t="shared" ref="BF11:BG11" si="59">+BE13</f>
        <v>144.49880421352688</v>
      </c>
      <c r="BG11" s="4">
        <f t="shared" si="59"/>
        <v>144.49880421352688</v>
      </c>
    </row>
    <row r="12" spans="1:59" ht="15" customHeight="1" x14ac:dyDescent="0.2">
      <c r="D12" s="105" t="s">
        <v>62</v>
      </c>
      <c r="E12" s="106"/>
      <c r="F12" s="106"/>
      <c r="G12" s="106"/>
      <c r="H12" s="108"/>
      <c r="I12" s="106">
        <f>-I20</f>
        <v>0</v>
      </c>
      <c r="J12" s="106">
        <f t="shared" ref="J12:AU12" si="60">-J20</f>
        <v>0</v>
      </c>
      <c r="K12" s="106">
        <f t="shared" si="60"/>
        <v>0</v>
      </c>
      <c r="L12" s="106">
        <f t="shared" si="60"/>
        <v>0</v>
      </c>
      <c r="M12" s="106">
        <f t="shared" si="60"/>
        <v>0</v>
      </c>
      <c r="N12" s="106">
        <f t="shared" si="60"/>
        <v>1.9240979381443302</v>
      </c>
      <c r="O12" s="106">
        <f t="shared" si="60"/>
        <v>0</v>
      </c>
      <c r="P12" s="106">
        <f t="shared" si="60"/>
        <v>0</v>
      </c>
      <c r="Q12" s="106">
        <f t="shared" si="60"/>
        <v>0</v>
      </c>
      <c r="R12" s="106">
        <f t="shared" si="60"/>
        <v>0</v>
      </c>
      <c r="S12" s="106">
        <f t="shared" si="60"/>
        <v>0</v>
      </c>
      <c r="T12" s="106">
        <f t="shared" si="60"/>
        <v>1.9529594072164953</v>
      </c>
      <c r="U12" s="106">
        <f t="shared" si="60"/>
        <v>0</v>
      </c>
      <c r="V12" s="106">
        <f t="shared" si="60"/>
        <v>0</v>
      </c>
      <c r="W12" s="106">
        <f t="shared" si="60"/>
        <v>0</v>
      </c>
      <c r="X12" s="106">
        <f t="shared" si="60"/>
        <v>0</v>
      </c>
      <c r="Y12" s="106">
        <f t="shared" si="60"/>
        <v>0</v>
      </c>
      <c r="Z12" s="106">
        <f t="shared" si="60"/>
        <v>1.9822537983247428</v>
      </c>
      <c r="AA12" s="106">
        <f t="shared" si="60"/>
        <v>0</v>
      </c>
      <c r="AB12" s="106">
        <f t="shared" si="60"/>
        <v>0</v>
      </c>
      <c r="AC12" s="106">
        <f t="shared" si="60"/>
        <v>0</v>
      </c>
      <c r="AD12" s="106">
        <f t="shared" si="60"/>
        <v>0</v>
      </c>
      <c r="AE12" s="106">
        <f t="shared" si="60"/>
        <v>0</v>
      </c>
      <c r="AF12" s="106">
        <f t="shared" si="60"/>
        <v>2.0119876052996135</v>
      </c>
      <c r="AG12" s="106">
        <f t="shared" si="60"/>
        <v>0</v>
      </c>
      <c r="AH12" s="106">
        <f t="shared" si="60"/>
        <v>0</v>
      </c>
      <c r="AI12" s="106">
        <f t="shared" si="60"/>
        <v>0</v>
      </c>
      <c r="AJ12" s="106">
        <f t="shared" si="60"/>
        <v>0</v>
      </c>
      <c r="AK12" s="106">
        <f t="shared" si="60"/>
        <v>0</v>
      </c>
      <c r="AL12" s="106">
        <f t="shared" si="60"/>
        <v>2.042167419379108</v>
      </c>
      <c r="AM12" s="106">
        <f t="shared" si="60"/>
        <v>0</v>
      </c>
      <c r="AN12" s="106">
        <f t="shared" si="60"/>
        <v>0</v>
      </c>
      <c r="AO12" s="106">
        <f t="shared" si="60"/>
        <v>0</v>
      </c>
      <c r="AP12" s="106">
        <f t="shared" si="60"/>
        <v>0</v>
      </c>
      <c r="AQ12" s="106">
        <f t="shared" si="60"/>
        <v>0</v>
      </c>
      <c r="AR12" s="106">
        <f t="shared" si="60"/>
        <v>2.0727999306697944</v>
      </c>
      <c r="AS12" s="106">
        <f t="shared" si="60"/>
        <v>0</v>
      </c>
      <c r="AT12" s="106">
        <f t="shared" si="60"/>
        <v>0</v>
      </c>
      <c r="AU12" s="106">
        <f t="shared" si="60"/>
        <v>0</v>
      </c>
      <c r="AV12" s="106">
        <f t="shared" ref="AV12:BG12" si="61">-AV20</f>
        <v>0</v>
      </c>
      <c r="AW12" s="106">
        <f t="shared" si="61"/>
        <v>0</v>
      </c>
      <c r="AX12" s="106">
        <f t="shared" si="61"/>
        <v>2.1038919296298411</v>
      </c>
      <c r="AY12" s="106">
        <f t="shared" si="61"/>
        <v>0</v>
      </c>
      <c r="AZ12" s="106">
        <f t="shared" si="61"/>
        <v>0</v>
      </c>
      <c r="BA12" s="106">
        <f t="shared" si="61"/>
        <v>0</v>
      </c>
      <c r="BB12" s="106">
        <f t="shared" si="61"/>
        <v>0</v>
      </c>
      <c r="BC12" s="106">
        <f t="shared" si="61"/>
        <v>0</v>
      </c>
      <c r="BD12" s="106">
        <f t="shared" si="61"/>
        <v>2.1354503085742889</v>
      </c>
      <c r="BE12" s="106">
        <f t="shared" si="61"/>
        <v>0</v>
      </c>
      <c r="BF12" s="106">
        <f t="shared" si="61"/>
        <v>0</v>
      </c>
      <c r="BG12" s="106">
        <f t="shared" si="61"/>
        <v>1.0837410316014515</v>
      </c>
    </row>
    <row r="13" spans="1:59" ht="15" customHeight="1" x14ac:dyDescent="0.2">
      <c r="D13" s="5" t="s">
        <v>63</v>
      </c>
      <c r="H13" s="109">
        <v>128.27319587628867</v>
      </c>
      <c r="I13" s="4">
        <f>SUM(I11:I12)</f>
        <v>128.27319587628867</v>
      </c>
      <c r="J13" s="4">
        <f t="shared" ref="J13:AU13" si="62">SUM(J11:J12)</f>
        <v>128.27319587628867</v>
      </c>
      <c r="K13" s="4">
        <f t="shared" si="62"/>
        <v>128.27319587628867</v>
      </c>
      <c r="L13" s="4">
        <f t="shared" si="62"/>
        <v>128.27319587628867</v>
      </c>
      <c r="M13" s="4">
        <f t="shared" si="62"/>
        <v>128.27319587628867</v>
      </c>
      <c r="N13" s="4">
        <f t="shared" si="62"/>
        <v>130.19729381443301</v>
      </c>
      <c r="O13" s="4">
        <f t="shared" si="62"/>
        <v>130.19729381443301</v>
      </c>
      <c r="P13" s="4">
        <f t="shared" si="62"/>
        <v>130.19729381443301</v>
      </c>
      <c r="Q13" s="4">
        <f t="shared" si="62"/>
        <v>130.19729381443301</v>
      </c>
      <c r="R13" s="4">
        <f t="shared" si="62"/>
        <v>130.19729381443301</v>
      </c>
      <c r="S13" s="4">
        <f t="shared" si="62"/>
        <v>130.19729381443301</v>
      </c>
      <c r="T13" s="4">
        <f t="shared" si="62"/>
        <v>132.15025322164951</v>
      </c>
      <c r="U13" s="4">
        <f t="shared" si="62"/>
        <v>132.15025322164951</v>
      </c>
      <c r="V13" s="4">
        <f t="shared" si="62"/>
        <v>132.15025322164951</v>
      </c>
      <c r="W13" s="4">
        <f t="shared" si="62"/>
        <v>132.15025322164951</v>
      </c>
      <c r="X13" s="4">
        <f t="shared" si="62"/>
        <v>132.15025322164951</v>
      </c>
      <c r="Y13" s="4">
        <f t="shared" si="62"/>
        <v>132.15025322164951</v>
      </c>
      <c r="Z13" s="4">
        <f t="shared" si="62"/>
        <v>134.13250701997424</v>
      </c>
      <c r="AA13" s="4">
        <f t="shared" si="62"/>
        <v>134.13250701997424</v>
      </c>
      <c r="AB13" s="4">
        <f t="shared" si="62"/>
        <v>134.13250701997424</v>
      </c>
      <c r="AC13" s="4">
        <f t="shared" si="62"/>
        <v>134.13250701997424</v>
      </c>
      <c r="AD13" s="4">
        <f t="shared" si="62"/>
        <v>134.13250701997424</v>
      </c>
      <c r="AE13" s="4">
        <f t="shared" si="62"/>
        <v>134.13250701997424</v>
      </c>
      <c r="AF13" s="4">
        <f t="shared" si="62"/>
        <v>136.14449462527386</v>
      </c>
      <c r="AG13" s="4">
        <f t="shared" si="62"/>
        <v>136.14449462527386</v>
      </c>
      <c r="AH13" s="4">
        <f t="shared" si="62"/>
        <v>136.14449462527386</v>
      </c>
      <c r="AI13" s="4">
        <f t="shared" si="62"/>
        <v>136.14449462527386</v>
      </c>
      <c r="AJ13" s="4">
        <f t="shared" si="62"/>
        <v>136.14449462527386</v>
      </c>
      <c r="AK13" s="4">
        <f t="shared" si="62"/>
        <v>136.14449462527386</v>
      </c>
      <c r="AL13" s="4">
        <f t="shared" si="62"/>
        <v>138.18666204465296</v>
      </c>
      <c r="AM13" s="4">
        <f t="shared" si="62"/>
        <v>138.18666204465296</v>
      </c>
      <c r="AN13" s="4">
        <f t="shared" si="62"/>
        <v>138.18666204465296</v>
      </c>
      <c r="AO13" s="4">
        <f t="shared" si="62"/>
        <v>138.18666204465296</v>
      </c>
      <c r="AP13" s="4">
        <f t="shared" si="62"/>
        <v>138.18666204465296</v>
      </c>
      <c r="AQ13" s="4">
        <f t="shared" si="62"/>
        <v>138.18666204465296</v>
      </c>
      <c r="AR13" s="4">
        <f t="shared" si="62"/>
        <v>140.25946197532275</v>
      </c>
      <c r="AS13" s="4">
        <f t="shared" si="62"/>
        <v>140.25946197532275</v>
      </c>
      <c r="AT13" s="4">
        <f t="shared" si="62"/>
        <v>140.25946197532275</v>
      </c>
      <c r="AU13" s="4">
        <f t="shared" si="62"/>
        <v>140.25946197532275</v>
      </c>
      <c r="AV13" s="4">
        <f t="shared" ref="AV13:BG13" si="63">SUM(AV11:AV12)</f>
        <v>140.25946197532275</v>
      </c>
      <c r="AW13" s="4">
        <f t="shared" si="63"/>
        <v>140.25946197532275</v>
      </c>
      <c r="AX13" s="4">
        <f t="shared" si="63"/>
        <v>142.36335390495259</v>
      </c>
      <c r="AY13" s="4">
        <f t="shared" si="63"/>
        <v>142.36335390495259</v>
      </c>
      <c r="AZ13" s="4">
        <f t="shared" si="63"/>
        <v>142.36335390495259</v>
      </c>
      <c r="BA13" s="4">
        <f t="shared" si="63"/>
        <v>142.36335390495259</v>
      </c>
      <c r="BB13" s="4">
        <f t="shared" si="63"/>
        <v>142.36335390495259</v>
      </c>
      <c r="BC13" s="4">
        <f t="shared" si="63"/>
        <v>142.36335390495259</v>
      </c>
      <c r="BD13" s="4">
        <f t="shared" si="63"/>
        <v>144.49880421352688</v>
      </c>
      <c r="BE13" s="4">
        <f t="shared" si="63"/>
        <v>144.49880421352688</v>
      </c>
      <c r="BF13" s="4">
        <f t="shared" si="63"/>
        <v>144.49880421352688</v>
      </c>
      <c r="BG13" s="4">
        <f t="shared" si="63"/>
        <v>145.58254524512833</v>
      </c>
    </row>
    <row r="15" spans="1:59" ht="15" customHeight="1" x14ac:dyDescent="0.2">
      <c r="D15" s="5" t="s">
        <v>64</v>
      </c>
      <c r="E15" s="109">
        <v>3</v>
      </c>
      <c r="F15" s="109">
        <v>9</v>
      </c>
      <c r="G15" s="117">
        <v>47118</v>
      </c>
      <c r="H15" s="107"/>
      <c r="I15" s="4">
        <f>IF((MONTH(I$4)=$E$15)+(MONTH(I$4)=$F$15)+(I$4=$G$15),1,0)</f>
        <v>0</v>
      </c>
      <c r="J15" s="4">
        <f t="shared" ref="J15:BG15" si="64">IF((MONTH(J$4)=$E$15)+(MONTH(J$4)=$F$15)+(J$4=$G$15),1,0)</f>
        <v>0</v>
      </c>
      <c r="K15" s="4">
        <f t="shared" si="64"/>
        <v>0</v>
      </c>
      <c r="L15" s="4">
        <f t="shared" si="64"/>
        <v>0</v>
      </c>
      <c r="M15" s="4">
        <f t="shared" si="64"/>
        <v>0</v>
      </c>
      <c r="N15" s="4">
        <f t="shared" si="64"/>
        <v>1</v>
      </c>
      <c r="O15" s="4">
        <f t="shared" si="64"/>
        <v>0</v>
      </c>
      <c r="P15" s="4">
        <f t="shared" si="64"/>
        <v>0</v>
      </c>
      <c r="Q15" s="4">
        <f t="shared" si="64"/>
        <v>0</v>
      </c>
      <c r="R15" s="4">
        <f t="shared" si="64"/>
        <v>0</v>
      </c>
      <c r="S15" s="4">
        <f t="shared" si="64"/>
        <v>0</v>
      </c>
      <c r="T15" s="4">
        <f t="shared" si="64"/>
        <v>1</v>
      </c>
      <c r="U15" s="4">
        <f t="shared" si="64"/>
        <v>0</v>
      </c>
      <c r="V15" s="4">
        <f t="shared" si="64"/>
        <v>0</v>
      </c>
      <c r="W15" s="4">
        <f t="shared" si="64"/>
        <v>0</v>
      </c>
      <c r="X15" s="4">
        <f t="shared" si="64"/>
        <v>0</v>
      </c>
      <c r="Y15" s="4">
        <f t="shared" si="64"/>
        <v>0</v>
      </c>
      <c r="Z15" s="4">
        <f t="shared" si="64"/>
        <v>1</v>
      </c>
      <c r="AA15" s="4">
        <f t="shared" si="64"/>
        <v>0</v>
      </c>
      <c r="AB15" s="4">
        <f t="shared" si="64"/>
        <v>0</v>
      </c>
      <c r="AC15" s="4">
        <f t="shared" si="64"/>
        <v>0</v>
      </c>
      <c r="AD15" s="4">
        <f t="shared" si="64"/>
        <v>0</v>
      </c>
      <c r="AE15" s="4">
        <f t="shared" si="64"/>
        <v>0</v>
      </c>
      <c r="AF15" s="4">
        <f t="shared" si="64"/>
        <v>1</v>
      </c>
      <c r="AG15" s="4">
        <f t="shared" si="64"/>
        <v>0</v>
      </c>
      <c r="AH15" s="4">
        <f t="shared" si="64"/>
        <v>0</v>
      </c>
      <c r="AI15" s="4">
        <f t="shared" si="64"/>
        <v>0</v>
      </c>
      <c r="AJ15" s="4">
        <f t="shared" si="64"/>
        <v>0</v>
      </c>
      <c r="AK15" s="4">
        <f t="shared" si="64"/>
        <v>0</v>
      </c>
      <c r="AL15" s="4">
        <f t="shared" si="64"/>
        <v>1</v>
      </c>
      <c r="AM15" s="4">
        <f t="shared" si="64"/>
        <v>0</v>
      </c>
      <c r="AN15" s="4">
        <f t="shared" si="64"/>
        <v>0</v>
      </c>
      <c r="AO15" s="4">
        <f t="shared" si="64"/>
        <v>0</v>
      </c>
      <c r="AP15" s="4">
        <f t="shared" si="64"/>
        <v>0</v>
      </c>
      <c r="AQ15" s="4">
        <f t="shared" si="64"/>
        <v>0</v>
      </c>
      <c r="AR15" s="4">
        <f t="shared" si="64"/>
        <v>1</v>
      </c>
      <c r="AS15" s="4">
        <f t="shared" si="64"/>
        <v>0</v>
      </c>
      <c r="AT15" s="4">
        <f t="shared" si="64"/>
        <v>0</v>
      </c>
      <c r="AU15" s="4">
        <f t="shared" si="64"/>
        <v>0</v>
      </c>
      <c r="AV15" s="4">
        <f t="shared" si="64"/>
        <v>0</v>
      </c>
      <c r="AW15" s="4">
        <f t="shared" si="64"/>
        <v>0</v>
      </c>
      <c r="AX15" s="4">
        <f t="shared" si="64"/>
        <v>1</v>
      </c>
      <c r="AY15" s="4">
        <f t="shared" si="64"/>
        <v>0</v>
      </c>
      <c r="AZ15" s="4">
        <f t="shared" si="64"/>
        <v>0</v>
      </c>
      <c r="BA15" s="4">
        <f t="shared" si="64"/>
        <v>0</v>
      </c>
      <c r="BB15" s="4">
        <f t="shared" si="64"/>
        <v>0</v>
      </c>
      <c r="BC15" s="4">
        <f t="shared" si="64"/>
        <v>0</v>
      </c>
      <c r="BD15" s="4">
        <f t="shared" si="64"/>
        <v>1</v>
      </c>
      <c r="BE15" s="4">
        <f t="shared" si="64"/>
        <v>0</v>
      </c>
      <c r="BF15" s="4">
        <f t="shared" si="64"/>
        <v>0</v>
      </c>
      <c r="BG15" s="4">
        <f t="shared" si="64"/>
        <v>1</v>
      </c>
    </row>
    <row r="17" spans="4:59" ht="15" customHeight="1" x14ac:dyDescent="0.2">
      <c r="D17" s="5" t="s">
        <v>65</v>
      </c>
      <c r="E17" s="118">
        <v>0.03</v>
      </c>
      <c r="H17" s="107"/>
      <c r="I17" s="102">
        <f>+$E17</f>
        <v>0.03</v>
      </c>
      <c r="J17" s="102">
        <f t="shared" ref="J17:BG17" si="65">+$E17</f>
        <v>0.03</v>
      </c>
      <c r="K17" s="102">
        <f t="shared" si="65"/>
        <v>0.03</v>
      </c>
      <c r="L17" s="102">
        <f t="shared" si="65"/>
        <v>0.03</v>
      </c>
      <c r="M17" s="102">
        <f t="shared" si="65"/>
        <v>0.03</v>
      </c>
      <c r="N17" s="102">
        <f t="shared" si="65"/>
        <v>0.03</v>
      </c>
      <c r="O17" s="102">
        <f t="shared" si="65"/>
        <v>0.03</v>
      </c>
      <c r="P17" s="102">
        <f t="shared" si="65"/>
        <v>0.03</v>
      </c>
      <c r="Q17" s="102">
        <f t="shared" si="65"/>
        <v>0.03</v>
      </c>
      <c r="R17" s="102">
        <f t="shared" si="65"/>
        <v>0.03</v>
      </c>
      <c r="S17" s="102">
        <f t="shared" si="65"/>
        <v>0.03</v>
      </c>
      <c r="T17" s="102">
        <f t="shared" si="65"/>
        <v>0.03</v>
      </c>
      <c r="U17" s="102">
        <f t="shared" si="65"/>
        <v>0.03</v>
      </c>
      <c r="V17" s="102">
        <f t="shared" si="65"/>
        <v>0.03</v>
      </c>
      <c r="W17" s="102">
        <f t="shared" si="65"/>
        <v>0.03</v>
      </c>
      <c r="X17" s="102">
        <f t="shared" si="65"/>
        <v>0.03</v>
      </c>
      <c r="Y17" s="102">
        <f t="shared" si="65"/>
        <v>0.03</v>
      </c>
      <c r="Z17" s="102">
        <f t="shared" si="65"/>
        <v>0.03</v>
      </c>
      <c r="AA17" s="102">
        <f t="shared" si="65"/>
        <v>0.03</v>
      </c>
      <c r="AB17" s="102">
        <f t="shared" si="65"/>
        <v>0.03</v>
      </c>
      <c r="AC17" s="102">
        <f t="shared" si="65"/>
        <v>0.03</v>
      </c>
      <c r="AD17" s="102">
        <f t="shared" si="65"/>
        <v>0.03</v>
      </c>
      <c r="AE17" s="102">
        <f t="shared" si="65"/>
        <v>0.03</v>
      </c>
      <c r="AF17" s="102">
        <f t="shared" si="65"/>
        <v>0.03</v>
      </c>
      <c r="AG17" s="102">
        <f t="shared" si="65"/>
        <v>0.03</v>
      </c>
      <c r="AH17" s="102">
        <f t="shared" si="65"/>
        <v>0.03</v>
      </c>
      <c r="AI17" s="102">
        <f t="shared" si="65"/>
        <v>0.03</v>
      </c>
      <c r="AJ17" s="102">
        <f t="shared" si="65"/>
        <v>0.03</v>
      </c>
      <c r="AK17" s="102">
        <f t="shared" si="65"/>
        <v>0.03</v>
      </c>
      <c r="AL17" s="102">
        <f t="shared" si="65"/>
        <v>0.03</v>
      </c>
      <c r="AM17" s="102">
        <f t="shared" si="65"/>
        <v>0.03</v>
      </c>
      <c r="AN17" s="102">
        <f t="shared" si="65"/>
        <v>0.03</v>
      </c>
      <c r="AO17" s="102">
        <f t="shared" si="65"/>
        <v>0.03</v>
      </c>
      <c r="AP17" s="102">
        <f t="shared" si="65"/>
        <v>0.03</v>
      </c>
      <c r="AQ17" s="102">
        <f t="shared" si="65"/>
        <v>0.03</v>
      </c>
      <c r="AR17" s="102">
        <f t="shared" si="65"/>
        <v>0.03</v>
      </c>
      <c r="AS17" s="102">
        <f t="shared" si="65"/>
        <v>0.03</v>
      </c>
      <c r="AT17" s="102">
        <f t="shared" si="65"/>
        <v>0.03</v>
      </c>
      <c r="AU17" s="102">
        <f t="shared" si="65"/>
        <v>0.03</v>
      </c>
      <c r="AV17" s="102">
        <f t="shared" si="65"/>
        <v>0.03</v>
      </c>
      <c r="AW17" s="102">
        <f t="shared" si="65"/>
        <v>0.03</v>
      </c>
      <c r="AX17" s="102">
        <f t="shared" si="65"/>
        <v>0.03</v>
      </c>
      <c r="AY17" s="102">
        <f t="shared" si="65"/>
        <v>0.03</v>
      </c>
      <c r="AZ17" s="102">
        <f t="shared" si="65"/>
        <v>0.03</v>
      </c>
      <c r="BA17" s="102">
        <f t="shared" si="65"/>
        <v>0.03</v>
      </c>
      <c r="BB17" s="102">
        <f t="shared" si="65"/>
        <v>0.03</v>
      </c>
      <c r="BC17" s="102">
        <f t="shared" si="65"/>
        <v>0.03</v>
      </c>
      <c r="BD17" s="102">
        <f t="shared" si="65"/>
        <v>0.03</v>
      </c>
      <c r="BE17" s="102">
        <f t="shared" si="65"/>
        <v>0.03</v>
      </c>
      <c r="BF17" s="102">
        <f t="shared" si="65"/>
        <v>0.03</v>
      </c>
      <c r="BG17" s="102">
        <f t="shared" si="65"/>
        <v>0.03</v>
      </c>
    </row>
    <row r="18" spans="4:59" ht="15" customHeight="1" x14ac:dyDescent="0.2">
      <c r="D18" s="5" t="s">
        <v>66</v>
      </c>
      <c r="H18" s="107"/>
      <c r="I18" s="4">
        <f>+I$7*I11*I17</f>
        <v>0.32068298969072168</v>
      </c>
      <c r="J18" s="4">
        <f t="shared" ref="J18:AU18" si="66">+J$7*J11*J17</f>
        <v>0.32068298969072168</v>
      </c>
      <c r="K18" s="4">
        <f t="shared" si="66"/>
        <v>0.32068298969072168</v>
      </c>
      <c r="L18" s="4">
        <f t="shared" si="66"/>
        <v>0.32068298969072168</v>
      </c>
      <c r="M18" s="4">
        <f t="shared" si="66"/>
        <v>0.32068298969072168</v>
      </c>
      <c r="N18" s="4">
        <f t="shared" si="66"/>
        <v>0.32068298969072168</v>
      </c>
      <c r="O18" s="4">
        <f t="shared" si="66"/>
        <v>0.32549323453608253</v>
      </c>
      <c r="P18" s="4">
        <f t="shared" si="66"/>
        <v>0.32549323453608253</v>
      </c>
      <c r="Q18" s="4">
        <f t="shared" si="66"/>
        <v>0.32549323453608253</v>
      </c>
      <c r="R18" s="4">
        <f t="shared" si="66"/>
        <v>0.32549323453608253</v>
      </c>
      <c r="S18" s="4">
        <f t="shared" si="66"/>
        <v>0.32549323453608253</v>
      </c>
      <c r="T18" s="4">
        <f t="shared" si="66"/>
        <v>0.32549323453608253</v>
      </c>
      <c r="U18" s="4">
        <f t="shared" si="66"/>
        <v>0.33037563305412376</v>
      </c>
      <c r="V18" s="4">
        <f t="shared" si="66"/>
        <v>0.33037563305412376</v>
      </c>
      <c r="W18" s="4">
        <f t="shared" si="66"/>
        <v>0.33037563305412376</v>
      </c>
      <c r="X18" s="4">
        <f t="shared" si="66"/>
        <v>0.33037563305412376</v>
      </c>
      <c r="Y18" s="4">
        <f t="shared" si="66"/>
        <v>0.33037563305412376</v>
      </c>
      <c r="Z18" s="4">
        <f t="shared" si="66"/>
        <v>0.33037563305412376</v>
      </c>
      <c r="AA18" s="4">
        <f t="shared" si="66"/>
        <v>0.33533126754993559</v>
      </c>
      <c r="AB18" s="4">
        <f t="shared" si="66"/>
        <v>0.33533126754993559</v>
      </c>
      <c r="AC18" s="4">
        <f t="shared" si="66"/>
        <v>0.33533126754993559</v>
      </c>
      <c r="AD18" s="4">
        <f t="shared" si="66"/>
        <v>0.33533126754993559</v>
      </c>
      <c r="AE18" s="4">
        <f t="shared" si="66"/>
        <v>0.33533126754993559</v>
      </c>
      <c r="AF18" s="4">
        <f t="shared" si="66"/>
        <v>0.33533126754993559</v>
      </c>
      <c r="AG18" s="4">
        <f t="shared" si="66"/>
        <v>0.34036123656318462</v>
      </c>
      <c r="AH18" s="4">
        <f t="shared" si="66"/>
        <v>0.34036123656318462</v>
      </c>
      <c r="AI18" s="4">
        <f t="shared" si="66"/>
        <v>0.34036123656318462</v>
      </c>
      <c r="AJ18" s="4">
        <f t="shared" si="66"/>
        <v>0.34036123656318462</v>
      </c>
      <c r="AK18" s="4">
        <f t="shared" si="66"/>
        <v>0.34036123656318462</v>
      </c>
      <c r="AL18" s="4">
        <f t="shared" si="66"/>
        <v>0.34036123656318462</v>
      </c>
      <c r="AM18" s="4">
        <f t="shared" si="66"/>
        <v>0.34546665511163238</v>
      </c>
      <c r="AN18" s="4">
        <f t="shared" si="66"/>
        <v>0.34546665511163238</v>
      </c>
      <c r="AO18" s="4">
        <f t="shared" si="66"/>
        <v>0.34546665511163238</v>
      </c>
      <c r="AP18" s="4">
        <f t="shared" si="66"/>
        <v>0.34546665511163238</v>
      </c>
      <c r="AQ18" s="4">
        <f t="shared" si="66"/>
        <v>0.34546665511163238</v>
      </c>
      <c r="AR18" s="4">
        <f t="shared" si="66"/>
        <v>0.34546665511163238</v>
      </c>
      <c r="AS18" s="4">
        <f t="shared" si="66"/>
        <v>0.35064865493830683</v>
      </c>
      <c r="AT18" s="4">
        <f t="shared" si="66"/>
        <v>0.35064865493830683</v>
      </c>
      <c r="AU18" s="4">
        <f t="shared" si="66"/>
        <v>0.35064865493830683</v>
      </c>
      <c r="AV18" s="4">
        <f t="shared" ref="AV18:BG18" si="67">+AV$7*AV11*AV17</f>
        <v>0.35064865493830683</v>
      </c>
      <c r="AW18" s="4">
        <f t="shared" si="67"/>
        <v>0.35064865493830683</v>
      </c>
      <c r="AX18" s="4">
        <f t="shared" si="67"/>
        <v>0.35064865493830683</v>
      </c>
      <c r="AY18" s="4">
        <f t="shared" si="67"/>
        <v>0.35590838476238146</v>
      </c>
      <c r="AZ18" s="4">
        <f t="shared" si="67"/>
        <v>0.35590838476238146</v>
      </c>
      <c r="BA18" s="4">
        <f t="shared" si="67"/>
        <v>0.35590838476238146</v>
      </c>
      <c r="BB18" s="4">
        <f t="shared" si="67"/>
        <v>0.35590838476238146</v>
      </c>
      <c r="BC18" s="4">
        <f t="shared" si="67"/>
        <v>0.35590838476238146</v>
      </c>
      <c r="BD18" s="4">
        <f t="shared" si="67"/>
        <v>0.35590838476238146</v>
      </c>
      <c r="BE18" s="4">
        <f t="shared" si="67"/>
        <v>0.36124701053381714</v>
      </c>
      <c r="BF18" s="4">
        <f t="shared" si="67"/>
        <v>0.36124701053381714</v>
      </c>
      <c r="BG18" s="4">
        <f t="shared" si="67"/>
        <v>0.36124701053381714</v>
      </c>
    </row>
    <row r="19" spans="4:59" ht="15" customHeight="1" x14ac:dyDescent="0.2">
      <c r="D19" s="5" t="s">
        <v>67</v>
      </c>
      <c r="H19" s="107"/>
      <c r="I19" s="4">
        <f>+I18+H21</f>
        <v>0.32068298969072168</v>
      </c>
      <c r="J19" s="4">
        <f t="shared" ref="J19:AU19" si="68">+J18+I21</f>
        <v>0.64136597938144335</v>
      </c>
      <c r="K19" s="4">
        <f t="shared" si="68"/>
        <v>0.96204896907216497</v>
      </c>
      <c r="L19" s="4">
        <f t="shared" si="68"/>
        <v>1.2827319587628867</v>
      </c>
      <c r="M19" s="4">
        <f t="shared" si="68"/>
        <v>1.6034149484536084</v>
      </c>
      <c r="N19" s="4">
        <f t="shared" si="68"/>
        <v>1.9240979381443302</v>
      </c>
      <c r="O19" s="4">
        <f t="shared" si="68"/>
        <v>0.32549323453608253</v>
      </c>
      <c r="P19" s="4">
        <f t="shared" si="68"/>
        <v>0.65098646907216506</v>
      </c>
      <c r="Q19" s="4">
        <f t="shared" si="68"/>
        <v>0.97647970360824754</v>
      </c>
      <c r="R19" s="4">
        <f t="shared" si="68"/>
        <v>1.3019729381443301</v>
      </c>
      <c r="S19" s="4">
        <f t="shared" si="68"/>
        <v>1.6274661726804127</v>
      </c>
      <c r="T19" s="4">
        <f t="shared" si="68"/>
        <v>1.9529594072164953</v>
      </c>
      <c r="U19" s="4">
        <f t="shared" si="68"/>
        <v>0.33037563305412376</v>
      </c>
      <c r="V19" s="4">
        <f t="shared" si="68"/>
        <v>0.66075126610824753</v>
      </c>
      <c r="W19" s="4">
        <f t="shared" si="68"/>
        <v>0.99112689916237129</v>
      </c>
      <c r="X19" s="4">
        <f t="shared" si="68"/>
        <v>1.3215025322164951</v>
      </c>
      <c r="Y19" s="4">
        <f t="shared" si="68"/>
        <v>1.6518781652706189</v>
      </c>
      <c r="Z19" s="4">
        <f t="shared" si="68"/>
        <v>1.9822537983247428</v>
      </c>
      <c r="AA19" s="4">
        <f t="shared" si="68"/>
        <v>0.33533126754993559</v>
      </c>
      <c r="AB19" s="4">
        <f t="shared" si="68"/>
        <v>0.67066253509987117</v>
      </c>
      <c r="AC19" s="4">
        <f t="shared" si="68"/>
        <v>1.0059938026498068</v>
      </c>
      <c r="AD19" s="4">
        <f t="shared" si="68"/>
        <v>1.3413250701997423</v>
      </c>
      <c r="AE19" s="4">
        <f t="shared" si="68"/>
        <v>1.6766563377496779</v>
      </c>
      <c r="AF19" s="4">
        <f t="shared" si="68"/>
        <v>2.0119876052996135</v>
      </c>
      <c r="AG19" s="4">
        <f t="shared" si="68"/>
        <v>0.34036123656318462</v>
      </c>
      <c r="AH19" s="4">
        <f t="shared" si="68"/>
        <v>0.68072247312636924</v>
      </c>
      <c r="AI19" s="4">
        <f t="shared" si="68"/>
        <v>1.0210837096895538</v>
      </c>
      <c r="AJ19" s="4">
        <f t="shared" si="68"/>
        <v>1.3614449462527385</v>
      </c>
      <c r="AK19" s="4">
        <f t="shared" si="68"/>
        <v>1.7018061828159232</v>
      </c>
      <c r="AL19" s="4">
        <f t="shared" si="68"/>
        <v>2.042167419379108</v>
      </c>
      <c r="AM19" s="4">
        <f t="shared" si="68"/>
        <v>0.34546665511163238</v>
      </c>
      <c r="AN19" s="4">
        <f t="shared" si="68"/>
        <v>0.69093331022326476</v>
      </c>
      <c r="AO19" s="4">
        <f t="shared" si="68"/>
        <v>1.0363999653348972</v>
      </c>
      <c r="AP19" s="4">
        <f t="shared" si="68"/>
        <v>1.3818666204465295</v>
      </c>
      <c r="AQ19" s="4">
        <f t="shared" si="68"/>
        <v>1.7273332755581619</v>
      </c>
      <c r="AR19" s="4">
        <f t="shared" si="68"/>
        <v>2.0727999306697944</v>
      </c>
      <c r="AS19" s="4">
        <f t="shared" si="68"/>
        <v>0.35064865493830683</v>
      </c>
      <c r="AT19" s="4">
        <f t="shared" si="68"/>
        <v>0.70129730987661365</v>
      </c>
      <c r="AU19" s="4">
        <f t="shared" si="68"/>
        <v>1.0519459648149205</v>
      </c>
      <c r="AV19" s="4">
        <f t="shared" ref="AV19" si="69">+AV18+AU21</f>
        <v>1.4025946197532273</v>
      </c>
      <c r="AW19" s="4">
        <f t="shared" ref="AW19" si="70">+AW18+AV21</f>
        <v>1.7532432746915341</v>
      </c>
      <c r="AX19" s="4">
        <f t="shared" ref="AX19" si="71">+AX18+AW21</f>
        <v>2.1038919296298411</v>
      </c>
      <c r="AY19" s="4">
        <f t="shared" ref="AY19" si="72">+AY18+AX21</f>
        <v>0.35590838476238146</v>
      </c>
      <c r="AZ19" s="4">
        <f t="shared" ref="AZ19" si="73">+AZ18+AY21</f>
        <v>0.71181676952476292</v>
      </c>
      <c r="BA19" s="4">
        <f t="shared" ref="BA19" si="74">+BA18+AZ21</f>
        <v>1.0677251542871444</v>
      </c>
      <c r="BB19" s="4">
        <f t="shared" ref="BB19" si="75">+BB18+BA21</f>
        <v>1.4236335390495258</v>
      </c>
      <c r="BC19" s="4">
        <f t="shared" ref="BC19" si="76">+BC18+BB21</f>
        <v>1.7795419238119072</v>
      </c>
      <c r="BD19" s="4">
        <f t="shared" ref="BD19" si="77">+BD18+BC21</f>
        <v>2.1354503085742889</v>
      </c>
      <c r="BE19" s="4">
        <f t="shared" ref="BE19" si="78">+BE18+BD21</f>
        <v>0.36124701053381714</v>
      </c>
      <c r="BF19" s="4">
        <f t="shared" ref="BF19:BG19" si="79">+BF18+BE21</f>
        <v>0.72249402106763427</v>
      </c>
      <c r="BG19" s="4">
        <f t="shared" si="79"/>
        <v>1.0837410316014515</v>
      </c>
    </row>
    <row r="20" spans="4:59" ht="15" customHeight="1" x14ac:dyDescent="0.2">
      <c r="D20" s="5" t="s">
        <v>68</v>
      </c>
      <c r="H20" s="107"/>
      <c r="I20" s="4">
        <f>-I15*I19</f>
        <v>0</v>
      </c>
      <c r="J20" s="4">
        <f t="shared" ref="J20:AU20" si="80">-J15*J19</f>
        <v>0</v>
      </c>
      <c r="K20" s="4">
        <f t="shared" si="80"/>
        <v>0</v>
      </c>
      <c r="L20" s="4">
        <f t="shared" si="80"/>
        <v>0</v>
      </c>
      <c r="M20" s="4">
        <f t="shared" si="80"/>
        <v>0</v>
      </c>
      <c r="N20" s="4">
        <f t="shared" si="80"/>
        <v>-1.9240979381443302</v>
      </c>
      <c r="O20" s="4">
        <f t="shared" si="80"/>
        <v>0</v>
      </c>
      <c r="P20" s="4">
        <f t="shared" si="80"/>
        <v>0</v>
      </c>
      <c r="Q20" s="4">
        <f t="shared" si="80"/>
        <v>0</v>
      </c>
      <c r="R20" s="4">
        <f t="shared" si="80"/>
        <v>0</v>
      </c>
      <c r="S20" s="4">
        <f t="shared" si="80"/>
        <v>0</v>
      </c>
      <c r="T20" s="4">
        <f t="shared" si="80"/>
        <v>-1.9529594072164953</v>
      </c>
      <c r="U20" s="4">
        <f t="shared" si="80"/>
        <v>0</v>
      </c>
      <c r="V20" s="4">
        <f t="shared" si="80"/>
        <v>0</v>
      </c>
      <c r="W20" s="4">
        <f t="shared" si="80"/>
        <v>0</v>
      </c>
      <c r="X20" s="4">
        <f t="shared" si="80"/>
        <v>0</v>
      </c>
      <c r="Y20" s="4">
        <f t="shared" si="80"/>
        <v>0</v>
      </c>
      <c r="Z20" s="4">
        <f t="shared" si="80"/>
        <v>-1.9822537983247428</v>
      </c>
      <c r="AA20" s="4">
        <f t="shared" si="80"/>
        <v>0</v>
      </c>
      <c r="AB20" s="4">
        <f t="shared" si="80"/>
        <v>0</v>
      </c>
      <c r="AC20" s="4">
        <f t="shared" si="80"/>
        <v>0</v>
      </c>
      <c r="AD20" s="4">
        <f t="shared" si="80"/>
        <v>0</v>
      </c>
      <c r="AE20" s="4">
        <f t="shared" si="80"/>
        <v>0</v>
      </c>
      <c r="AF20" s="4">
        <f t="shared" si="80"/>
        <v>-2.0119876052996135</v>
      </c>
      <c r="AG20" s="4">
        <f t="shared" si="80"/>
        <v>0</v>
      </c>
      <c r="AH20" s="4">
        <f t="shared" si="80"/>
        <v>0</v>
      </c>
      <c r="AI20" s="4">
        <f t="shared" si="80"/>
        <v>0</v>
      </c>
      <c r="AJ20" s="4">
        <f t="shared" si="80"/>
        <v>0</v>
      </c>
      <c r="AK20" s="4">
        <f t="shared" si="80"/>
        <v>0</v>
      </c>
      <c r="AL20" s="4">
        <f t="shared" si="80"/>
        <v>-2.042167419379108</v>
      </c>
      <c r="AM20" s="4">
        <f t="shared" si="80"/>
        <v>0</v>
      </c>
      <c r="AN20" s="4">
        <f t="shared" si="80"/>
        <v>0</v>
      </c>
      <c r="AO20" s="4">
        <f t="shared" si="80"/>
        <v>0</v>
      </c>
      <c r="AP20" s="4">
        <f t="shared" si="80"/>
        <v>0</v>
      </c>
      <c r="AQ20" s="4">
        <f t="shared" si="80"/>
        <v>0</v>
      </c>
      <c r="AR20" s="4">
        <f t="shared" si="80"/>
        <v>-2.0727999306697944</v>
      </c>
      <c r="AS20" s="4">
        <f t="shared" si="80"/>
        <v>0</v>
      </c>
      <c r="AT20" s="4">
        <f t="shared" si="80"/>
        <v>0</v>
      </c>
      <c r="AU20" s="4">
        <f t="shared" si="80"/>
        <v>0</v>
      </c>
      <c r="AV20" s="4">
        <f t="shared" ref="AV20:BG20" si="81">-AV15*AV19</f>
        <v>0</v>
      </c>
      <c r="AW20" s="4">
        <f t="shared" si="81"/>
        <v>0</v>
      </c>
      <c r="AX20" s="4">
        <f t="shared" si="81"/>
        <v>-2.1038919296298411</v>
      </c>
      <c r="AY20" s="4">
        <f t="shared" si="81"/>
        <v>0</v>
      </c>
      <c r="AZ20" s="4">
        <f t="shared" si="81"/>
        <v>0</v>
      </c>
      <c r="BA20" s="4">
        <f t="shared" si="81"/>
        <v>0</v>
      </c>
      <c r="BB20" s="4">
        <f t="shared" si="81"/>
        <v>0</v>
      </c>
      <c r="BC20" s="4">
        <f t="shared" si="81"/>
        <v>0</v>
      </c>
      <c r="BD20" s="4">
        <f t="shared" si="81"/>
        <v>-2.1354503085742889</v>
      </c>
      <c r="BE20" s="4">
        <f t="shared" si="81"/>
        <v>0</v>
      </c>
      <c r="BF20" s="4">
        <f t="shared" si="81"/>
        <v>0</v>
      </c>
      <c r="BG20" s="4">
        <f t="shared" si="81"/>
        <v>-1.0837410316014515</v>
      </c>
    </row>
    <row r="21" spans="4:59" ht="15" customHeight="1" x14ac:dyDescent="0.2">
      <c r="D21" s="5" t="s">
        <v>69</v>
      </c>
      <c r="H21" s="107"/>
      <c r="I21" s="4">
        <f>+I19+I20</f>
        <v>0.32068298969072168</v>
      </c>
      <c r="J21" s="4">
        <f t="shared" ref="J21:AU21" si="82">+J19+J20</f>
        <v>0.64136597938144335</v>
      </c>
      <c r="K21" s="4">
        <f t="shared" si="82"/>
        <v>0.96204896907216497</v>
      </c>
      <c r="L21" s="4">
        <f t="shared" si="82"/>
        <v>1.2827319587628867</v>
      </c>
      <c r="M21" s="4">
        <f t="shared" si="82"/>
        <v>1.6034149484536084</v>
      </c>
      <c r="N21" s="4">
        <f t="shared" si="82"/>
        <v>0</v>
      </c>
      <c r="O21" s="4">
        <f t="shared" si="82"/>
        <v>0.32549323453608253</v>
      </c>
      <c r="P21" s="4">
        <f t="shared" si="82"/>
        <v>0.65098646907216506</v>
      </c>
      <c r="Q21" s="4">
        <f t="shared" si="82"/>
        <v>0.97647970360824754</v>
      </c>
      <c r="R21" s="4">
        <f t="shared" si="82"/>
        <v>1.3019729381443301</v>
      </c>
      <c r="S21" s="4">
        <f t="shared" si="82"/>
        <v>1.6274661726804127</v>
      </c>
      <c r="T21" s="4">
        <f t="shared" si="82"/>
        <v>0</v>
      </c>
      <c r="U21" s="4">
        <f t="shared" si="82"/>
        <v>0.33037563305412376</v>
      </c>
      <c r="V21" s="4">
        <f t="shared" si="82"/>
        <v>0.66075126610824753</v>
      </c>
      <c r="W21" s="4">
        <f t="shared" si="82"/>
        <v>0.99112689916237129</v>
      </c>
      <c r="X21" s="4">
        <f t="shared" si="82"/>
        <v>1.3215025322164951</v>
      </c>
      <c r="Y21" s="4">
        <f t="shared" si="82"/>
        <v>1.6518781652706189</v>
      </c>
      <c r="Z21" s="4">
        <f t="shared" si="82"/>
        <v>0</v>
      </c>
      <c r="AA21" s="4">
        <f t="shared" si="82"/>
        <v>0.33533126754993559</v>
      </c>
      <c r="AB21" s="4">
        <f t="shared" si="82"/>
        <v>0.67066253509987117</v>
      </c>
      <c r="AC21" s="4">
        <f t="shared" si="82"/>
        <v>1.0059938026498068</v>
      </c>
      <c r="AD21" s="4">
        <f t="shared" si="82"/>
        <v>1.3413250701997423</v>
      </c>
      <c r="AE21" s="4">
        <f t="shared" si="82"/>
        <v>1.6766563377496779</v>
      </c>
      <c r="AF21" s="4">
        <f t="shared" si="82"/>
        <v>0</v>
      </c>
      <c r="AG21" s="4">
        <f t="shared" si="82"/>
        <v>0.34036123656318462</v>
      </c>
      <c r="AH21" s="4">
        <f t="shared" si="82"/>
        <v>0.68072247312636924</v>
      </c>
      <c r="AI21" s="4">
        <f t="shared" si="82"/>
        <v>1.0210837096895538</v>
      </c>
      <c r="AJ21" s="4">
        <f t="shared" si="82"/>
        <v>1.3614449462527385</v>
      </c>
      <c r="AK21" s="4">
        <f t="shared" si="82"/>
        <v>1.7018061828159232</v>
      </c>
      <c r="AL21" s="4">
        <f t="shared" si="82"/>
        <v>0</v>
      </c>
      <c r="AM21" s="4">
        <f t="shared" si="82"/>
        <v>0.34546665511163238</v>
      </c>
      <c r="AN21" s="4">
        <f t="shared" si="82"/>
        <v>0.69093331022326476</v>
      </c>
      <c r="AO21" s="4">
        <f t="shared" si="82"/>
        <v>1.0363999653348972</v>
      </c>
      <c r="AP21" s="4">
        <f t="shared" si="82"/>
        <v>1.3818666204465295</v>
      </c>
      <c r="AQ21" s="4">
        <f t="shared" si="82"/>
        <v>1.7273332755581619</v>
      </c>
      <c r="AR21" s="4">
        <f t="shared" si="82"/>
        <v>0</v>
      </c>
      <c r="AS21" s="4">
        <f t="shared" si="82"/>
        <v>0.35064865493830683</v>
      </c>
      <c r="AT21" s="4">
        <f t="shared" si="82"/>
        <v>0.70129730987661365</v>
      </c>
      <c r="AU21" s="4">
        <f t="shared" si="82"/>
        <v>1.0519459648149205</v>
      </c>
      <c r="AV21" s="4">
        <f t="shared" ref="AV21:BG21" si="83">+AV19+AV20</f>
        <v>1.4025946197532273</v>
      </c>
      <c r="AW21" s="4">
        <f t="shared" si="83"/>
        <v>1.7532432746915341</v>
      </c>
      <c r="AX21" s="4">
        <f t="shared" si="83"/>
        <v>0</v>
      </c>
      <c r="AY21" s="4">
        <f t="shared" si="83"/>
        <v>0.35590838476238146</v>
      </c>
      <c r="AZ21" s="4">
        <f t="shared" si="83"/>
        <v>0.71181676952476292</v>
      </c>
      <c r="BA21" s="4">
        <f t="shared" si="83"/>
        <v>1.0677251542871444</v>
      </c>
      <c r="BB21" s="4">
        <f t="shared" si="83"/>
        <v>1.4236335390495258</v>
      </c>
      <c r="BC21" s="4">
        <f t="shared" si="83"/>
        <v>1.7795419238119072</v>
      </c>
      <c r="BD21" s="4">
        <f t="shared" si="83"/>
        <v>0</v>
      </c>
      <c r="BE21" s="4">
        <f t="shared" si="83"/>
        <v>0.36124701053381714</v>
      </c>
      <c r="BF21" s="4">
        <f t="shared" si="83"/>
        <v>0.72249402106763427</v>
      </c>
      <c r="BG21" s="4">
        <f t="shared" si="83"/>
        <v>0</v>
      </c>
    </row>
    <row r="23" spans="4:59" ht="15" customHeight="1" x14ac:dyDescent="0.2">
      <c r="D23" s="5" t="s">
        <v>70</v>
      </c>
      <c r="E23" s="118">
        <v>0.08</v>
      </c>
      <c r="H23" s="107"/>
      <c r="I23" s="102">
        <f>+$E23</f>
        <v>0.08</v>
      </c>
      <c r="J23" s="102">
        <f t="shared" ref="J23:BG23" si="84">+$E23</f>
        <v>0.08</v>
      </c>
      <c r="K23" s="102">
        <f t="shared" si="84"/>
        <v>0.08</v>
      </c>
      <c r="L23" s="102">
        <f t="shared" si="84"/>
        <v>0.08</v>
      </c>
      <c r="M23" s="102">
        <f t="shared" si="84"/>
        <v>0.08</v>
      </c>
      <c r="N23" s="102">
        <f t="shared" si="84"/>
        <v>0.08</v>
      </c>
      <c r="O23" s="102">
        <f t="shared" si="84"/>
        <v>0.08</v>
      </c>
      <c r="P23" s="102">
        <f t="shared" si="84"/>
        <v>0.08</v>
      </c>
      <c r="Q23" s="102">
        <f t="shared" si="84"/>
        <v>0.08</v>
      </c>
      <c r="R23" s="102">
        <f t="shared" si="84"/>
        <v>0.08</v>
      </c>
      <c r="S23" s="102">
        <f t="shared" si="84"/>
        <v>0.08</v>
      </c>
      <c r="T23" s="102">
        <f t="shared" si="84"/>
        <v>0.08</v>
      </c>
      <c r="U23" s="102">
        <f t="shared" si="84"/>
        <v>0.08</v>
      </c>
      <c r="V23" s="102">
        <f t="shared" si="84"/>
        <v>0.08</v>
      </c>
      <c r="W23" s="102">
        <f t="shared" si="84"/>
        <v>0.08</v>
      </c>
      <c r="X23" s="102">
        <f t="shared" si="84"/>
        <v>0.08</v>
      </c>
      <c r="Y23" s="102">
        <f t="shared" si="84"/>
        <v>0.08</v>
      </c>
      <c r="Z23" s="102">
        <f t="shared" si="84"/>
        <v>0.08</v>
      </c>
      <c r="AA23" s="102">
        <f t="shared" si="84"/>
        <v>0.08</v>
      </c>
      <c r="AB23" s="102">
        <f t="shared" si="84"/>
        <v>0.08</v>
      </c>
      <c r="AC23" s="102">
        <f t="shared" si="84"/>
        <v>0.08</v>
      </c>
      <c r="AD23" s="102">
        <f t="shared" si="84"/>
        <v>0.08</v>
      </c>
      <c r="AE23" s="102">
        <f t="shared" si="84"/>
        <v>0.08</v>
      </c>
      <c r="AF23" s="102">
        <f t="shared" si="84"/>
        <v>0.08</v>
      </c>
      <c r="AG23" s="102">
        <f t="shared" si="84"/>
        <v>0.08</v>
      </c>
      <c r="AH23" s="102">
        <f t="shared" si="84"/>
        <v>0.08</v>
      </c>
      <c r="AI23" s="102">
        <f t="shared" si="84"/>
        <v>0.08</v>
      </c>
      <c r="AJ23" s="102">
        <f t="shared" si="84"/>
        <v>0.08</v>
      </c>
      <c r="AK23" s="102">
        <f t="shared" si="84"/>
        <v>0.08</v>
      </c>
      <c r="AL23" s="102">
        <f t="shared" si="84"/>
        <v>0.08</v>
      </c>
      <c r="AM23" s="102">
        <f t="shared" si="84"/>
        <v>0.08</v>
      </c>
      <c r="AN23" s="102">
        <f t="shared" si="84"/>
        <v>0.08</v>
      </c>
      <c r="AO23" s="102">
        <f t="shared" si="84"/>
        <v>0.08</v>
      </c>
      <c r="AP23" s="102">
        <f t="shared" si="84"/>
        <v>0.08</v>
      </c>
      <c r="AQ23" s="102">
        <f t="shared" si="84"/>
        <v>0.08</v>
      </c>
      <c r="AR23" s="102">
        <f t="shared" si="84"/>
        <v>0.08</v>
      </c>
      <c r="AS23" s="102">
        <f t="shared" si="84"/>
        <v>0.08</v>
      </c>
      <c r="AT23" s="102">
        <f t="shared" si="84"/>
        <v>0.08</v>
      </c>
      <c r="AU23" s="102">
        <f t="shared" si="84"/>
        <v>0.08</v>
      </c>
      <c r="AV23" s="102">
        <f t="shared" si="84"/>
        <v>0.08</v>
      </c>
      <c r="AW23" s="102">
        <f t="shared" si="84"/>
        <v>0.08</v>
      </c>
      <c r="AX23" s="102">
        <f t="shared" si="84"/>
        <v>0.08</v>
      </c>
      <c r="AY23" s="102">
        <f t="shared" si="84"/>
        <v>0.08</v>
      </c>
      <c r="AZ23" s="102">
        <f t="shared" si="84"/>
        <v>0.08</v>
      </c>
      <c r="BA23" s="102">
        <f t="shared" si="84"/>
        <v>0.08</v>
      </c>
      <c r="BB23" s="102">
        <f t="shared" si="84"/>
        <v>0.08</v>
      </c>
      <c r="BC23" s="102">
        <f t="shared" si="84"/>
        <v>0.08</v>
      </c>
      <c r="BD23" s="102">
        <f t="shared" si="84"/>
        <v>0.08</v>
      </c>
      <c r="BE23" s="102">
        <f t="shared" si="84"/>
        <v>0.08</v>
      </c>
      <c r="BF23" s="102">
        <f t="shared" si="84"/>
        <v>0.08</v>
      </c>
      <c r="BG23" s="102">
        <f t="shared" si="84"/>
        <v>0.08</v>
      </c>
    </row>
    <row r="24" spans="4:59" ht="15" customHeight="1" x14ac:dyDescent="0.2">
      <c r="D24" s="5" t="s">
        <v>71</v>
      </c>
      <c r="H24" s="107"/>
      <c r="I24" s="4">
        <f>+I$7*I11*I23</f>
        <v>0.8551546391752578</v>
      </c>
      <c r="J24" s="4">
        <f t="shared" ref="J24:AU24" si="85">+J$7*J11*J23</f>
        <v>0.8551546391752578</v>
      </c>
      <c r="K24" s="4">
        <f t="shared" si="85"/>
        <v>0.8551546391752578</v>
      </c>
      <c r="L24" s="4">
        <f t="shared" si="85"/>
        <v>0.8551546391752578</v>
      </c>
      <c r="M24" s="4">
        <f t="shared" si="85"/>
        <v>0.8551546391752578</v>
      </c>
      <c r="N24" s="4">
        <f t="shared" si="85"/>
        <v>0.8551546391752578</v>
      </c>
      <c r="O24" s="4">
        <f t="shared" si="85"/>
        <v>0.86798195876288675</v>
      </c>
      <c r="P24" s="4">
        <f t="shared" si="85"/>
        <v>0.86798195876288675</v>
      </c>
      <c r="Q24" s="4">
        <f t="shared" si="85"/>
        <v>0.86798195876288675</v>
      </c>
      <c r="R24" s="4">
        <f t="shared" si="85"/>
        <v>0.86798195876288675</v>
      </c>
      <c r="S24" s="4">
        <f t="shared" si="85"/>
        <v>0.86798195876288675</v>
      </c>
      <c r="T24" s="4">
        <f t="shared" si="85"/>
        <v>0.86798195876288675</v>
      </c>
      <c r="U24" s="4">
        <f t="shared" si="85"/>
        <v>0.88100168814433011</v>
      </c>
      <c r="V24" s="4">
        <f t="shared" si="85"/>
        <v>0.88100168814433011</v>
      </c>
      <c r="W24" s="4">
        <f t="shared" si="85"/>
        <v>0.88100168814433011</v>
      </c>
      <c r="X24" s="4">
        <f t="shared" si="85"/>
        <v>0.88100168814433011</v>
      </c>
      <c r="Y24" s="4">
        <f t="shared" si="85"/>
        <v>0.88100168814433011</v>
      </c>
      <c r="Z24" s="4">
        <f t="shared" si="85"/>
        <v>0.88100168814433011</v>
      </c>
      <c r="AA24" s="4">
        <f t="shared" si="85"/>
        <v>0.89421671346649489</v>
      </c>
      <c r="AB24" s="4">
        <f t="shared" si="85"/>
        <v>0.89421671346649489</v>
      </c>
      <c r="AC24" s="4">
        <f t="shared" si="85"/>
        <v>0.89421671346649489</v>
      </c>
      <c r="AD24" s="4">
        <f t="shared" si="85"/>
        <v>0.89421671346649489</v>
      </c>
      <c r="AE24" s="4">
        <f t="shared" si="85"/>
        <v>0.89421671346649489</v>
      </c>
      <c r="AF24" s="4">
        <f t="shared" si="85"/>
        <v>0.89421671346649489</v>
      </c>
      <c r="AG24" s="4">
        <f t="shared" si="85"/>
        <v>0.9076299641684924</v>
      </c>
      <c r="AH24" s="4">
        <f t="shared" si="85"/>
        <v>0.9076299641684924</v>
      </c>
      <c r="AI24" s="4">
        <f t="shared" si="85"/>
        <v>0.9076299641684924</v>
      </c>
      <c r="AJ24" s="4">
        <f t="shared" si="85"/>
        <v>0.9076299641684924</v>
      </c>
      <c r="AK24" s="4">
        <f t="shared" si="85"/>
        <v>0.9076299641684924</v>
      </c>
      <c r="AL24" s="4">
        <f t="shared" si="85"/>
        <v>0.9076299641684924</v>
      </c>
      <c r="AM24" s="4">
        <f t="shared" si="85"/>
        <v>0.92124441363101972</v>
      </c>
      <c r="AN24" s="4">
        <f t="shared" si="85"/>
        <v>0.92124441363101972</v>
      </c>
      <c r="AO24" s="4">
        <f t="shared" si="85"/>
        <v>0.92124441363101972</v>
      </c>
      <c r="AP24" s="4">
        <f t="shared" si="85"/>
        <v>0.92124441363101972</v>
      </c>
      <c r="AQ24" s="4">
        <f t="shared" si="85"/>
        <v>0.92124441363101972</v>
      </c>
      <c r="AR24" s="4">
        <f t="shared" si="85"/>
        <v>0.92124441363101972</v>
      </c>
      <c r="AS24" s="4">
        <f t="shared" si="85"/>
        <v>0.93506307983548498</v>
      </c>
      <c r="AT24" s="4">
        <f t="shared" si="85"/>
        <v>0.93506307983548498</v>
      </c>
      <c r="AU24" s="4">
        <f t="shared" si="85"/>
        <v>0.93506307983548498</v>
      </c>
      <c r="AV24" s="4">
        <f t="shared" ref="AV24:BG24" si="86">+AV$7*AV11*AV23</f>
        <v>0.93506307983548498</v>
      </c>
      <c r="AW24" s="4">
        <f t="shared" si="86"/>
        <v>0.93506307983548498</v>
      </c>
      <c r="AX24" s="4">
        <f t="shared" si="86"/>
        <v>0.93506307983548498</v>
      </c>
      <c r="AY24" s="4">
        <f t="shared" si="86"/>
        <v>0.94908902603301726</v>
      </c>
      <c r="AZ24" s="4">
        <f t="shared" si="86"/>
        <v>0.94908902603301726</v>
      </c>
      <c r="BA24" s="4">
        <f t="shared" si="86"/>
        <v>0.94908902603301726</v>
      </c>
      <c r="BB24" s="4">
        <f t="shared" si="86"/>
        <v>0.94908902603301726</v>
      </c>
      <c r="BC24" s="4">
        <f t="shared" si="86"/>
        <v>0.94908902603301726</v>
      </c>
      <c r="BD24" s="4">
        <f t="shared" si="86"/>
        <v>0.94908902603301726</v>
      </c>
      <c r="BE24" s="4">
        <f t="shared" si="86"/>
        <v>0.96332536142351244</v>
      </c>
      <c r="BF24" s="4">
        <f t="shared" si="86"/>
        <v>0.96332536142351244</v>
      </c>
      <c r="BG24" s="4">
        <f t="shared" si="86"/>
        <v>0.96332536142351244</v>
      </c>
    </row>
    <row r="25" spans="4:59" ht="15" customHeight="1" x14ac:dyDescent="0.2">
      <c r="D25" s="5" t="s">
        <v>72</v>
      </c>
      <c r="H25" s="107"/>
      <c r="I25" s="4">
        <f>+I24+H27</f>
        <v>0.8551546391752578</v>
      </c>
      <c r="J25" s="4">
        <f t="shared" ref="J25" si="87">+J24+I27</f>
        <v>1.7103092783505156</v>
      </c>
      <c r="K25" s="4">
        <f t="shared" ref="K25" si="88">+K24+J27</f>
        <v>2.5654639175257734</v>
      </c>
      <c r="L25" s="4">
        <f t="shared" ref="L25" si="89">+L24+K27</f>
        <v>3.4206185567010312</v>
      </c>
      <c r="M25" s="4">
        <f t="shared" ref="M25" si="90">+M24+L27</f>
        <v>4.2757731958762886</v>
      </c>
      <c r="N25" s="4">
        <f t="shared" ref="N25" si="91">+N24+M27</f>
        <v>5.1309278350515459</v>
      </c>
      <c r="O25" s="4">
        <f t="shared" ref="O25" si="92">+O24+N27</f>
        <v>0.86798195876288675</v>
      </c>
      <c r="P25" s="4">
        <f t="shared" ref="P25" si="93">+P24+O27</f>
        <v>1.7359639175257735</v>
      </c>
      <c r="Q25" s="4">
        <f t="shared" ref="Q25" si="94">+Q24+P27</f>
        <v>2.6039458762886603</v>
      </c>
      <c r="R25" s="4">
        <f t="shared" ref="R25" si="95">+R24+Q27</f>
        <v>3.471927835051547</v>
      </c>
      <c r="S25" s="4">
        <f t="shared" ref="S25" si="96">+S24+R27</f>
        <v>4.3399097938144333</v>
      </c>
      <c r="T25" s="4">
        <f t="shared" ref="T25" si="97">+T24+S27</f>
        <v>5.2078917525773196</v>
      </c>
      <c r="U25" s="4">
        <f t="shared" ref="U25" si="98">+U24+T27</f>
        <v>0.88100168814433011</v>
      </c>
      <c r="V25" s="4">
        <f t="shared" ref="V25" si="99">+V24+U27</f>
        <v>1.7620033762886602</v>
      </c>
      <c r="W25" s="4">
        <f t="shared" ref="W25" si="100">+W24+V27</f>
        <v>2.6430050644329901</v>
      </c>
      <c r="X25" s="4">
        <f t="shared" ref="X25" si="101">+X24+W27</f>
        <v>3.5240067525773204</v>
      </c>
      <c r="Y25" s="4">
        <f t="shared" ref="Y25" si="102">+Y24+X27</f>
        <v>4.4050084407216508</v>
      </c>
      <c r="Z25" s="4">
        <f t="shared" ref="Z25" si="103">+Z24+Y27</f>
        <v>5.2860101288659811</v>
      </c>
      <c r="AA25" s="4">
        <f t="shared" ref="AA25" si="104">+AA24+Z27</f>
        <v>0.89421671346649489</v>
      </c>
      <c r="AB25" s="4">
        <f t="shared" ref="AB25" si="105">+AB24+AA27</f>
        <v>1.7884334269329898</v>
      </c>
      <c r="AC25" s="4">
        <f t="shared" ref="AC25" si="106">+AC24+AB27</f>
        <v>2.6826501403994847</v>
      </c>
      <c r="AD25" s="4">
        <f t="shared" ref="AD25" si="107">+AD24+AC27</f>
        <v>3.5768668538659796</v>
      </c>
      <c r="AE25" s="4">
        <f t="shared" ref="AE25" si="108">+AE24+AD27</f>
        <v>4.4710835673324745</v>
      </c>
      <c r="AF25" s="4">
        <f t="shared" ref="AF25" si="109">+AF24+AE27</f>
        <v>5.3653002807989694</v>
      </c>
      <c r="AG25" s="4">
        <f t="shared" ref="AG25" si="110">+AG24+AF27</f>
        <v>0.9076299641684924</v>
      </c>
      <c r="AH25" s="4">
        <f t="shared" ref="AH25" si="111">+AH24+AG27</f>
        <v>1.8152599283369848</v>
      </c>
      <c r="AI25" s="4">
        <f t="shared" ref="AI25" si="112">+AI24+AH27</f>
        <v>2.722889892505477</v>
      </c>
      <c r="AJ25" s="4">
        <f t="shared" ref="AJ25" si="113">+AJ24+AI27</f>
        <v>3.6305198566739696</v>
      </c>
      <c r="AK25" s="4">
        <f t="shared" ref="AK25" si="114">+AK24+AJ27</f>
        <v>4.5381498208424622</v>
      </c>
      <c r="AL25" s="4">
        <f t="shared" ref="AL25" si="115">+AL24+AK27</f>
        <v>5.4457797850109548</v>
      </c>
      <c r="AM25" s="4">
        <f t="shared" ref="AM25" si="116">+AM24+AL27</f>
        <v>0.92124441363101972</v>
      </c>
      <c r="AN25" s="4">
        <f t="shared" ref="AN25" si="117">+AN24+AM27</f>
        <v>1.8424888272620394</v>
      </c>
      <c r="AO25" s="4">
        <f t="shared" ref="AO25" si="118">+AO24+AN27</f>
        <v>2.7637332408930591</v>
      </c>
      <c r="AP25" s="4">
        <f t="shared" ref="AP25" si="119">+AP24+AO27</f>
        <v>3.6849776545240789</v>
      </c>
      <c r="AQ25" s="4">
        <f t="shared" ref="AQ25" si="120">+AQ24+AP27</f>
        <v>4.6062220681550983</v>
      </c>
      <c r="AR25" s="4">
        <f t="shared" ref="AR25" si="121">+AR24+AQ27</f>
        <v>5.5274664817861181</v>
      </c>
      <c r="AS25" s="4">
        <f t="shared" ref="AS25" si="122">+AS24+AR27</f>
        <v>0.93506307983548498</v>
      </c>
      <c r="AT25" s="4">
        <f t="shared" ref="AT25" si="123">+AT24+AS27</f>
        <v>1.87012615967097</v>
      </c>
      <c r="AU25" s="4">
        <f t="shared" ref="AU25" si="124">+AU24+AT27</f>
        <v>2.805189239506455</v>
      </c>
      <c r="AV25" s="4">
        <f t="shared" ref="AV25" si="125">+AV24+AU27</f>
        <v>3.7402523193419399</v>
      </c>
      <c r="AW25" s="4">
        <f t="shared" ref="AW25" si="126">+AW24+AV27</f>
        <v>4.6753153991774248</v>
      </c>
      <c r="AX25" s="4">
        <f t="shared" ref="AX25" si="127">+AX24+AW27</f>
        <v>5.6103784790129101</v>
      </c>
      <c r="AY25" s="4">
        <f t="shared" ref="AY25" si="128">+AY24+AX27</f>
        <v>0.94908902603301726</v>
      </c>
      <c r="AZ25" s="4">
        <f t="shared" ref="AZ25" si="129">+AZ24+AY27</f>
        <v>1.8981780520660345</v>
      </c>
      <c r="BA25" s="4">
        <f t="shared" ref="BA25" si="130">+BA24+AZ27</f>
        <v>2.8472670780990517</v>
      </c>
      <c r="BB25" s="4">
        <f t="shared" ref="BB25" si="131">+BB24+BA27</f>
        <v>3.796356104132069</v>
      </c>
      <c r="BC25" s="4">
        <f t="shared" ref="BC25" si="132">+BC24+BB27</f>
        <v>4.745445130165086</v>
      </c>
      <c r="BD25" s="4">
        <f t="shared" ref="BD25" si="133">+BD24+BC27</f>
        <v>5.6945341561981033</v>
      </c>
      <c r="BE25" s="4">
        <f t="shared" ref="BE25" si="134">+BE24+BD27</f>
        <v>0.96332536142351244</v>
      </c>
      <c r="BF25" s="4">
        <f t="shared" ref="BF25:BG25" si="135">+BF24+BE27</f>
        <v>1.9266507228470249</v>
      </c>
      <c r="BG25" s="4">
        <f t="shared" si="135"/>
        <v>2.8899760842705371</v>
      </c>
    </row>
    <row r="26" spans="4:59" ht="15" customHeight="1" x14ac:dyDescent="0.2">
      <c r="D26" s="5" t="s">
        <v>73</v>
      </c>
      <c r="H26" s="107"/>
      <c r="I26" s="4">
        <f>-I15*I25</f>
        <v>0</v>
      </c>
      <c r="J26" s="4">
        <f t="shared" ref="J26:AU26" si="136">-J15*J25</f>
        <v>0</v>
      </c>
      <c r="K26" s="4">
        <f t="shared" si="136"/>
        <v>0</v>
      </c>
      <c r="L26" s="4">
        <f t="shared" si="136"/>
        <v>0</v>
      </c>
      <c r="M26" s="4">
        <f t="shared" si="136"/>
        <v>0</v>
      </c>
      <c r="N26" s="4">
        <f t="shared" si="136"/>
        <v>-5.1309278350515459</v>
      </c>
      <c r="O26" s="4">
        <f t="shared" si="136"/>
        <v>0</v>
      </c>
      <c r="P26" s="4">
        <f t="shared" si="136"/>
        <v>0</v>
      </c>
      <c r="Q26" s="4">
        <f t="shared" si="136"/>
        <v>0</v>
      </c>
      <c r="R26" s="4">
        <f t="shared" si="136"/>
        <v>0</v>
      </c>
      <c r="S26" s="4">
        <f t="shared" si="136"/>
        <v>0</v>
      </c>
      <c r="T26" s="4">
        <f t="shared" si="136"/>
        <v>-5.2078917525773196</v>
      </c>
      <c r="U26" s="4">
        <f t="shared" si="136"/>
        <v>0</v>
      </c>
      <c r="V26" s="4">
        <f t="shared" si="136"/>
        <v>0</v>
      </c>
      <c r="W26" s="4">
        <f t="shared" si="136"/>
        <v>0</v>
      </c>
      <c r="X26" s="4">
        <f t="shared" si="136"/>
        <v>0</v>
      </c>
      <c r="Y26" s="4">
        <f t="shared" si="136"/>
        <v>0</v>
      </c>
      <c r="Z26" s="4">
        <f t="shared" si="136"/>
        <v>-5.2860101288659811</v>
      </c>
      <c r="AA26" s="4">
        <f t="shared" si="136"/>
        <v>0</v>
      </c>
      <c r="AB26" s="4">
        <f t="shared" si="136"/>
        <v>0</v>
      </c>
      <c r="AC26" s="4">
        <f t="shared" si="136"/>
        <v>0</v>
      </c>
      <c r="AD26" s="4">
        <f t="shared" si="136"/>
        <v>0</v>
      </c>
      <c r="AE26" s="4">
        <f t="shared" si="136"/>
        <v>0</v>
      </c>
      <c r="AF26" s="4">
        <f t="shared" si="136"/>
        <v>-5.3653002807989694</v>
      </c>
      <c r="AG26" s="4">
        <f t="shared" si="136"/>
        <v>0</v>
      </c>
      <c r="AH26" s="4">
        <f t="shared" si="136"/>
        <v>0</v>
      </c>
      <c r="AI26" s="4">
        <f t="shared" si="136"/>
        <v>0</v>
      </c>
      <c r="AJ26" s="4">
        <f t="shared" si="136"/>
        <v>0</v>
      </c>
      <c r="AK26" s="4">
        <f t="shared" si="136"/>
        <v>0</v>
      </c>
      <c r="AL26" s="4">
        <f t="shared" si="136"/>
        <v>-5.4457797850109548</v>
      </c>
      <c r="AM26" s="4">
        <f t="shared" si="136"/>
        <v>0</v>
      </c>
      <c r="AN26" s="4">
        <f t="shared" si="136"/>
        <v>0</v>
      </c>
      <c r="AO26" s="4">
        <f t="shared" si="136"/>
        <v>0</v>
      </c>
      <c r="AP26" s="4">
        <f t="shared" si="136"/>
        <v>0</v>
      </c>
      <c r="AQ26" s="4">
        <f t="shared" si="136"/>
        <v>0</v>
      </c>
      <c r="AR26" s="4">
        <f t="shared" si="136"/>
        <v>-5.5274664817861181</v>
      </c>
      <c r="AS26" s="4">
        <f t="shared" si="136"/>
        <v>0</v>
      </c>
      <c r="AT26" s="4">
        <f t="shared" si="136"/>
        <v>0</v>
      </c>
      <c r="AU26" s="4">
        <f t="shared" si="136"/>
        <v>0</v>
      </c>
      <c r="AV26" s="4">
        <f t="shared" ref="AV26:BG26" si="137">-AV15*AV25</f>
        <v>0</v>
      </c>
      <c r="AW26" s="4">
        <f t="shared" si="137"/>
        <v>0</v>
      </c>
      <c r="AX26" s="4">
        <f t="shared" si="137"/>
        <v>-5.6103784790129101</v>
      </c>
      <c r="AY26" s="4">
        <f t="shared" si="137"/>
        <v>0</v>
      </c>
      <c r="AZ26" s="4">
        <f t="shared" si="137"/>
        <v>0</v>
      </c>
      <c r="BA26" s="4">
        <f t="shared" si="137"/>
        <v>0</v>
      </c>
      <c r="BB26" s="4">
        <f t="shared" si="137"/>
        <v>0</v>
      </c>
      <c r="BC26" s="4">
        <f t="shared" si="137"/>
        <v>0</v>
      </c>
      <c r="BD26" s="4">
        <f t="shared" si="137"/>
        <v>-5.6945341561981033</v>
      </c>
      <c r="BE26" s="4">
        <f t="shared" si="137"/>
        <v>0</v>
      </c>
      <c r="BF26" s="4">
        <f t="shared" si="137"/>
        <v>0</v>
      </c>
      <c r="BG26" s="4">
        <f t="shared" si="137"/>
        <v>-2.8899760842705371</v>
      </c>
    </row>
    <row r="27" spans="4:59" ht="15" customHeight="1" x14ac:dyDescent="0.2">
      <c r="D27" s="5" t="s">
        <v>74</v>
      </c>
      <c r="H27" s="107"/>
      <c r="I27" s="4">
        <f>+I25+I26</f>
        <v>0.8551546391752578</v>
      </c>
      <c r="J27" s="4">
        <f t="shared" ref="J27" si="138">+J25+J26</f>
        <v>1.7103092783505156</v>
      </c>
      <c r="K27" s="4">
        <f t="shared" ref="K27" si="139">+K25+K26</f>
        <v>2.5654639175257734</v>
      </c>
      <c r="L27" s="4">
        <f t="shared" ref="L27" si="140">+L25+L26</f>
        <v>3.4206185567010312</v>
      </c>
      <c r="M27" s="4">
        <f t="shared" ref="M27" si="141">+M25+M26</f>
        <v>4.2757731958762886</v>
      </c>
      <c r="N27" s="4">
        <f t="shared" ref="N27" si="142">+N25+N26</f>
        <v>0</v>
      </c>
      <c r="O27" s="4">
        <f t="shared" ref="O27" si="143">+O25+O26</f>
        <v>0.86798195876288675</v>
      </c>
      <c r="P27" s="4">
        <f t="shared" ref="P27" si="144">+P25+P26</f>
        <v>1.7359639175257735</v>
      </c>
      <c r="Q27" s="4">
        <f t="shared" ref="Q27" si="145">+Q25+Q26</f>
        <v>2.6039458762886603</v>
      </c>
      <c r="R27" s="4">
        <f t="shared" ref="R27" si="146">+R25+R26</f>
        <v>3.471927835051547</v>
      </c>
      <c r="S27" s="4">
        <f t="shared" ref="S27" si="147">+S25+S26</f>
        <v>4.3399097938144333</v>
      </c>
      <c r="T27" s="4">
        <f t="shared" ref="T27" si="148">+T25+T26</f>
        <v>0</v>
      </c>
      <c r="U27" s="4">
        <f t="shared" ref="U27" si="149">+U25+U26</f>
        <v>0.88100168814433011</v>
      </c>
      <c r="V27" s="4">
        <f t="shared" ref="V27" si="150">+V25+V26</f>
        <v>1.7620033762886602</v>
      </c>
      <c r="W27" s="4">
        <f t="shared" ref="W27" si="151">+W25+W26</f>
        <v>2.6430050644329901</v>
      </c>
      <c r="X27" s="4">
        <f t="shared" ref="X27" si="152">+X25+X26</f>
        <v>3.5240067525773204</v>
      </c>
      <c r="Y27" s="4">
        <f t="shared" ref="Y27" si="153">+Y25+Y26</f>
        <v>4.4050084407216508</v>
      </c>
      <c r="Z27" s="4">
        <f t="shared" ref="Z27" si="154">+Z25+Z26</f>
        <v>0</v>
      </c>
      <c r="AA27" s="4">
        <f t="shared" ref="AA27" si="155">+AA25+AA26</f>
        <v>0.89421671346649489</v>
      </c>
      <c r="AB27" s="4">
        <f t="shared" ref="AB27" si="156">+AB25+AB26</f>
        <v>1.7884334269329898</v>
      </c>
      <c r="AC27" s="4">
        <f t="shared" ref="AC27" si="157">+AC25+AC26</f>
        <v>2.6826501403994847</v>
      </c>
      <c r="AD27" s="4">
        <f t="shared" ref="AD27" si="158">+AD25+AD26</f>
        <v>3.5768668538659796</v>
      </c>
      <c r="AE27" s="4">
        <f t="shared" ref="AE27" si="159">+AE25+AE26</f>
        <v>4.4710835673324745</v>
      </c>
      <c r="AF27" s="4">
        <f t="shared" ref="AF27" si="160">+AF25+AF26</f>
        <v>0</v>
      </c>
      <c r="AG27" s="4">
        <f t="shared" ref="AG27" si="161">+AG25+AG26</f>
        <v>0.9076299641684924</v>
      </c>
      <c r="AH27" s="4">
        <f t="shared" ref="AH27" si="162">+AH25+AH26</f>
        <v>1.8152599283369848</v>
      </c>
      <c r="AI27" s="4">
        <f t="shared" ref="AI27" si="163">+AI25+AI26</f>
        <v>2.722889892505477</v>
      </c>
      <c r="AJ27" s="4">
        <f t="shared" ref="AJ27" si="164">+AJ25+AJ26</f>
        <v>3.6305198566739696</v>
      </c>
      <c r="AK27" s="4">
        <f t="shared" ref="AK27" si="165">+AK25+AK26</f>
        <v>4.5381498208424622</v>
      </c>
      <c r="AL27" s="4">
        <f t="shared" ref="AL27" si="166">+AL25+AL26</f>
        <v>0</v>
      </c>
      <c r="AM27" s="4">
        <f t="shared" ref="AM27" si="167">+AM25+AM26</f>
        <v>0.92124441363101972</v>
      </c>
      <c r="AN27" s="4">
        <f t="shared" ref="AN27" si="168">+AN25+AN26</f>
        <v>1.8424888272620394</v>
      </c>
      <c r="AO27" s="4">
        <f t="shared" ref="AO27" si="169">+AO25+AO26</f>
        <v>2.7637332408930591</v>
      </c>
      <c r="AP27" s="4">
        <f t="shared" ref="AP27" si="170">+AP25+AP26</f>
        <v>3.6849776545240789</v>
      </c>
      <c r="AQ27" s="4">
        <f t="shared" ref="AQ27" si="171">+AQ25+AQ26</f>
        <v>4.6062220681550983</v>
      </c>
      <c r="AR27" s="4">
        <f t="shared" ref="AR27" si="172">+AR25+AR26</f>
        <v>0</v>
      </c>
      <c r="AS27" s="4">
        <f t="shared" ref="AS27" si="173">+AS25+AS26</f>
        <v>0.93506307983548498</v>
      </c>
      <c r="AT27" s="4">
        <f t="shared" ref="AT27" si="174">+AT25+AT26</f>
        <v>1.87012615967097</v>
      </c>
      <c r="AU27" s="4">
        <f t="shared" ref="AU27:BF27" si="175">+AU25+AU26</f>
        <v>2.805189239506455</v>
      </c>
      <c r="AV27" s="4">
        <f t="shared" si="175"/>
        <v>3.7402523193419399</v>
      </c>
      <c r="AW27" s="4">
        <f t="shared" si="175"/>
        <v>4.6753153991774248</v>
      </c>
      <c r="AX27" s="4">
        <f t="shared" si="175"/>
        <v>0</v>
      </c>
      <c r="AY27" s="4">
        <f t="shared" si="175"/>
        <v>0.94908902603301726</v>
      </c>
      <c r="AZ27" s="4">
        <f t="shared" si="175"/>
        <v>1.8981780520660345</v>
      </c>
      <c r="BA27" s="4">
        <f t="shared" si="175"/>
        <v>2.8472670780990517</v>
      </c>
      <c r="BB27" s="4">
        <f t="shared" si="175"/>
        <v>3.796356104132069</v>
      </c>
      <c r="BC27" s="4">
        <f t="shared" si="175"/>
        <v>4.745445130165086</v>
      </c>
      <c r="BD27" s="4">
        <f t="shared" si="175"/>
        <v>0</v>
      </c>
      <c r="BE27" s="4">
        <f t="shared" si="175"/>
        <v>0.96332536142351244</v>
      </c>
      <c r="BF27" s="4">
        <f t="shared" si="175"/>
        <v>1.9266507228470249</v>
      </c>
      <c r="BG27" s="4">
        <f t="shared" ref="BG27" si="176">+BG25+BG26</f>
        <v>0</v>
      </c>
    </row>
    <row r="29" spans="4:59" ht="15" customHeight="1" x14ac:dyDescent="0.2">
      <c r="D29" s="5" t="s">
        <v>63</v>
      </c>
      <c r="H29" s="107"/>
      <c r="I29" s="4">
        <f>+I13</f>
        <v>128.27319587628867</v>
      </c>
      <c r="J29" s="4">
        <f t="shared" ref="J29:AU29" si="177">+J13</f>
        <v>128.27319587628867</v>
      </c>
      <c r="K29" s="4">
        <f t="shared" si="177"/>
        <v>128.27319587628867</v>
      </c>
      <c r="L29" s="4">
        <f t="shared" si="177"/>
        <v>128.27319587628867</v>
      </c>
      <c r="M29" s="4">
        <f t="shared" si="177"/>
        <v>128.27319587628867</v>
      </c>
      <c r="N29" s="4">
        <f t="shared" si="177"/>
        <v>130.19729381443301</v>
      </c>
      <c r="O29" s="4">
        <f t="shared" si="177"/>
        <v>130.19729381443301</v>
      </c>
      <c r="P29" s="4">
        <f t="shared" si="177"/>
        <v>130.19729381443301</v>
      </c>
      <c r="Q29" s="4">
        <f t="shared" si="177"/>
        <v>130.19729381443301</v>
      </c>
      <c r="R29" s="4">
        <f t="shared" si="177"/>
        <v>130.19729381443301</v>
      </c>
      <c r="S29" s="4">
        <f t="shared" si="177"/>
        <v>130.19729381443301</v>
      </c>
      <c r="T29" s="4">
        <f t="shared" si="177"/>
        <v>132.15025322164951</v>
      </c>
      <c r="U29" s="4">
        <f t="shared" si="177"/>
        <v>132.15025322164951</v>
      </c>
      <c r="V29" s="4">
        <f t="shared" si="177"/>
        <v>132.15025322164951</v>
      </c>
      <c r="W29" s="4">
        <f t="shared" si="177"/>
        <v>132.15025322164951</v>
      </c>
      <c r="X29" s="4">
        <f t="shared" si="177"/>
        <v>132.15025322164951</v>
      </c>
      <c r="Y29" s="4">
        <f t="shared" si="177"/>
        <v>132.15025322164951</v>
      </c>
      <c r="Z29" s="4">
        <f t="shared" si="177"/>
        <v>134.13250701997424</v>
      </c>
      <c r="AA29" s="4">
        <f t="shared" si="177"/>
        <v>134.13250701997424</v>
      </c>
      <c r="AB29" s="4">
        <f t="shared" si="177"/>
        <v>134.13250701997424</v>
      </c>
      <c r="AC29" s="4">
        <f t="shared" si="177"/>
        <v>134.13250701997424</v>
      </c>
      <c r="AD29" s="4">
        <f t="shared" si="177"/>
        <v>134.13250701997424</v>
      </c>
      <c r="AE29" s="4">
        <f t="shared" si="177"/>
        <v>134.13250701997424</v>
      </c>
      <c r="AF29" s="4">
        <f t="shared" si="177"/>
        <v>136.14449462527386</v>
      </c>
      <c r="AG29" s="4">
        <f t="shared" si="177"/>
        <v>136.14449462527386</v>
      </c>
      <c r="AH29" s="4">
        <f t="shared" si="177"/>
        <v>136.14449462527386</v>
      </c>
      <c r="AI29" s="4">
        <f t="shared" si="177"/>
        <v>136.14449462527386</v>
      </c>
      <c r="AJ29" s="4">
        <f t="shared" si="177"/>
        <v>136.14449462527386</v>
      </c>
      <c r="AK29" s="4">
        <f t="shared" si="177"/>
        <v>136.14449462527386</v>
      </c>
      <c r="AL29" s="4">
        <f t="shared" si="177"/>
        <v>138.18666204465296</v>
      </c>
      <c r="AM29" s="4">
        <f t="shared" si="177"/>
        <v>138.18666204465296</v>
      </c>
      <c r="AN29" s="4">
        <f t="shared" si="177"/>
        <v>138.18666204465296</v>
      </c>
      <c r="AO29" s="4">
        <f t="shared" si="177"/>
        <v>138.18666204465296</v>
      </c>
      <c r="AP29" s="4">
        <f t="shared" si="177"/>
        <v>138.18666204465296</v>
      </c>
      <c r="AQ29" s="4">
        <f t="shared" si="177"/>
        <v>138.18666204465296</v>
      </c>
      <c r="AR29" s="4">
        <f t="shared" si="177"/>
        <v>140.25946197532275</v>
      </c>
      <c r="AS29" s="4">
        <f t="shared" si="177"/>
        <v>140.25946197532275</v>
      </c>
      <c r="AT29" s="4">
        <f t="shared" si="177"/>
        <v>140.25946197532275</v>
      </c>
      <c r="AU29" s="4">
        <f t="shared" si="177"/>
        <v>140.25946197532275</v>
      </c>
      <c r="AV29" s="4">
        <f t="shared" ref="AV29:BG29" si="178">+AV13</f>
        <v>140.25946197532275</v>
      </c>
      <c r="AW29" s="4">
        <f t="shared" si="178"/>
        <v>140.25946197532275</v>
      </c>
      <c r="AX29" s="4">
        <f t="shared" si="178"/>
        <v>142.36335390495259</v>
      </c>
      <c r="AY29" s="4">
        <f t="shared" si="178"/>
        <v>142.36335390495259</v>
      </c>
      <c r="AZ29" s="4">
        <f t="shared" si="178"/>
        <v>142.36335390495259</v>
      </c>
      <c r="BA29" s="4">
        <f t="shared" si="178"/>
        <v>142.36335390495259</v>
      </c>
      <c r="BB29" s="4">
        <f t="shared" si="178"/>
        <v>142.36335390495259</v>
      </c>
      <c r="BC29" s="4">
        <f t="shared" si="178"/>
        <v>142.36335390495259</v>
      </c>
      <c r="BD29" s="4">
        <f t="shared" si="178"/>
        <v>144.49880421352688</v>
      </c>
      <c r="BE29" s="4">
        <f t="shared" si="178"/>
        <v>144.49880421352688</v>
      </c>
      <c r="BF29" s="4">
        <f t="shared" si="178"/>
        <v>144.49880421352688</v>
      </c>
      <c r="BG29" s="4">
        <f t="shared" si="178"/>
        <v>145.58254524512833</v>
      </c>
    </row>
    <row r="30" spans="4:59" ht="15" customHeight="1" x14ac:dyDescent="0.2">
      <c r="D30" s="5" t="s">
        <v>76</v>
      </c>
      <c r="H30" s="107"/>
      <c r="I30" s="4">
        <f>+I21</f>
        <v>0.32068298969072168</v>
      </c>
      <c r="J30" s="4">
        <f t="shared" ref="J30:AU30" si="179">+J21</f>
        <v>0.64136597938144335</v>
      </c>
      <c r="K30" s="4">
        <f t="shared" si="179"/>
        <v>0.96204896907216497</v>
      </c>
      <c r="L30" s="4">
        <f t="shared" si="179"/>
        <v>1.2827319587628867</v>
      </c>
      <c r="M30" s="4">
        <f t="shared" si="179"/>
        <v>1.6034149484536084</v>
      </c>
      <c r="N30" s="4">
        <f t="shared" si="179"/>
        <v>0</v>
      </c>
      <c r="O30" s="4">
        <f t="shared" si="179"/>
        <v>0.32549323453608253</v>
      </c>
      <c r="P30" s="4">
        <f t="shared" si="179"/>
        <v>0.65098646907216506</v>
      </c>
      <c r="Q30" s="4">
        <f t="shared" si="179"/>
        <v>0.97647970360824754</v>
      </c>
      <c r="R30" s="4">
        <f t="shared" si="179"/>
        <v>1.3019729381443301</v>
      </c>
      <c r="S30" s="4">
        <f t="shared" si="179"/>
        <v>1.6274661726804127</v>
      </c>
      <c r="T30" s="4">
        <f t="shared" si="179"/>
        <v>0</v>
      </c>
      <c r="U30" s="4">
        <f t="shared" si="179"/>
        <v>0.33037563305412376</v>
      </c>
      <c r="V30" s="4">
        <f t="shared" si="179"/>
        <v>0.66075126610824753</v>
      </c>
      <c r="W30" s="4">
        <f t="shared" si="179"/>
        <v>0.99112689916237129</v>
      </c>
      <c r="X30" s="4">
        <f t="shared" si="179"/>
        <v>1.3215025322164951</v>
      </c>
      <c r="Y30" s="4">
        <f t="shared" si="179"/>
        <v>1.6518781652706189</v>
      </c>
      <c r="Z30" s="4">
        <f t="shared" si="179"/>
        <v>0</v>
      </c>
      <c r="AA30" s="4">
        <f t="shared" si="179"/>
        <v>0.33533126754993559</v>
      </c>
      <c r="AB30" s="4">
        <f t="shared" si="179"/>
        <v>0.67066253509987117</v>
      </c>
      <c r="AC30" s="4">
        <f t="shared" si="179"/>
        <v>1.0059938026498068</v>
      </c>
      <c r="AD30" s="4">
        <f t="shared" si="179"/>
        <v>1.3413250701997423</v>
      </c>
      <c r="AE30" s="4">
        <f t="shared" si="179"/>
        <v>1.6766563377496779</v>
      </c>
      <c r="AF30" s="4">
        <f t="shared" si="179"/>
        <v>0</v>
      </c>
      <c r="AG30" s="4">
        <f t="shared" si="179"/>
        <v>0.34036123656318462</v>
      </c>
      <c r="AH30" s="4">
        <f t="shared" si="179"/>
        <v>0.68072247312636924</v>
      </c>
      <c r="AI30" s="4">
        <f t="shared" si="179"/>
        <v>1.0210837096895538</v>
      </c>
      <c r="AJ30" s="4">
        <f t="shared" si="179"/>
        <v>1.3614449462527385</v>
      </c>
      <c r="AK30" s="4">
        <f t="shared" si="179"/>
        <v>1.7018061828159232</v>
      </c>
      <c r="AL30" s="4">
        <f t="shared" si="179"/>
        <v>0</v>
      </c>
      <c r="AM30" s="4">
        <f t="shared" si="179"/>
        <v>0.34546665511163238</v>
      </c>
      <c r="AN30" s="4">
        <f t="shared" si="179"/>
        <v>0.69093331022326476</v>
      </c>
      <c r="AO30" s="4">
        <f t="shared" si="179"/>
        <v>1.0363999653348972</v>
      </c>
      <c r="AP30" s="4">
        <f t="shared" si="179"/>
        <v>1.3818666204465295</v>
      </c>
      <c r="AQ30" s="4">
        <f t="shared" si="179"/>
        <v>1.7273332755581619</v>
      </c>
      <c r="AR30" s="4">
        <f t="shared" si="179"/>
        <v>0</v>
      </c>
      <c r="AS30" s="4">
        <f t="shared" si="179"/>
        <v>0.35064865493830683</v>
      </c>
      <c r="AT30" s="4">
        <f t="shared" si="179"/>
        <v>0.70129730987661365</v>
      </c>
      <c r="AU30" s="4">
        <f t="shared" si="179"/>
        <v>1.0519459648149205</v>
      </c>
      <c r="AV30" s="4">
        <f t="shared" ref="AV30:BG30" si="180">+AV21</f>
        <v>1.4025946197532273</v>
      </c>
      <c r="AW30" s="4">
        <f t="shared" si="180"/>
        <v>1.7532432746915341</v>
      </c>
      <c r="AX30" s="4">
        <f t="shared" si="180"/>
        <v>0</v>
      </c>
      <c r="AY30" s="4">
        <f t="shared" si="180"/>
        <v>0.35590838476238146</v>
      </c>
      <c r="AZ30" s="4">
        <f t="shared" si="180"/>
        <v>0.71181676952476292</v>
      </c>
      <c r="BA30" s="4">
        <f t="shared" si="180"/>
        <v>1.0677251542871444</v>
      </c>
      <c r="BB30" s="4">
        <f t="shared" si="180"/>
        <v>1.4236335390495258</v>
      </c>
      <c r="BC30" s="4">
        <f t="shared" si="180"/>
        <v>1.7795419238119072</v>
      </c>
      <c r="BD30" s="4">
        <f t="shared" si="180"/>
        <v>0</v>
      </c>
      <c r="BE30" s="4">
        <f t="shared" si="180"/>
        <v>0.36124701053381714</v>
      </c>
      <c r="BF30" s="4">
        <f t="shared" si="180"/>
        <v>0.72249402106763427</v>
      </c>
      <c r="BG30" s="4">
        <f t="shared" si="180"/>
        <v>0</v>
      </c>
    </row>
    <row r="31" spans="4:59" ht="15" customHeight="1" x14ac:dyDescent="0.2">
      <c r="D31" s="105" t="s">
        <v>75</v>
      </c>
      <c r="E31" s="106"/>
      <c r="F31" s="106"/>
      <c r="G31" s="106"/>
      <c r="H31" s="108"/>
      <c r="I31" s="106">
        <f>+I27</f>
        <v>0.8551546391752578</v>
      </c>
      <c r="J31" s="106">
        <f t="shared" ref="J31:AU31" si="181">+J27</f>
        <v>1.7103092783505156</v>
      </c>
      <c r="K31" s="106">
        <f t="shared" si="181"/>
        <v>2.5654639175257734</v>
      </c>
      <c r="L31" s="106">
        <f t="shared" si="181"/>
        <v>3.4206185567010312</v>
      </c>
      <c r="M31" s="106">
        <f t="shared" si="181"/>
        <v>4.2757731958762886</v>
      </c>
      <c r="N31" s="106">
        <f t="shared" si="181"/>
        <v>0</v>
      </c>
      <c r="O31" s="106">
        <f t="shared" si="181"/>
        <v>0.86798195876288675</v>
      </c>
      <c r="P31" s="106">
        <f t="shared" si="181"/>
        <v>1.7359639175257735</v>
      </c>
      <c r="Q31" s="106">
        <f t="shared" si="181"/>
        <v>2.6039458762886603</v>
      </c>
      <c r="R31" s="106">
        <f t="shared" si="181"/>
        <v>3.471927835051547</v>
      </c>
      <c r="S31" s="106">
        <f t="shared" si="181"/>
        <v>4.3399097938144333</v>
      </c>
      <c r="T31" s="106">
        <f t="shared" si="181"/>
        <v>0</v>
      </c>
      <c r="U31" s="106">
        <f t="shared" si="181"/>
        <v>0.88100168814433011</v>
      </c>
      <c r="V31" s="106">
        <f t="shared" si="181"/>
        <v>1.7620033762886602</v>
      </c>
      <c r="W31" s="106">
        <f t="shared" si="181"/>
        <v>2.6430050644329901</v>
      </c>
      <c r="X31" s="106">
        <f t="shared" si="181"/>
        <v>3.5240067525773204</v>
      </c>
      <c r="Y31" s="106">
        <f t="shared" si="181"/>
        <v>4.4050084407216508</v>
      </c>
      <c r="Z31" s="106">
        <f t="shared" si="181"/>
        <v>0</v>
      </c>
      <c r="AA31" s="106">
        <f t="shared" si="181"/>
        <v>0.89421671346649489</v>
      </c>
      <c r="AB31" s="106">
        <f t="shared" si="181"/>
        <v>1.7884334269329898</v>
      </c>
      <c r="AC31" s="106">
        <f t="shared" si="181"/>
        <v>2.6826501403994847</v>
      </c>
      <c r="AD31" s="106">
        <f t="shared" si="181"/>
        <v>3.5768668538659796</v>
      </c>
      <c r="AE31" s="106">
        <f t="shared" si="181"/>
        <v>4.4710835673324745</v>
      </c>
      <c r="AF31" s="106">
        <f t="shared" si="181"/>
        <v>0</v>
      </c>
      <c r="AG31" s="106">
        <f t="shared" si="181"/>
        <v>0.9076299641684924</v>
      </c>
      <c r="AH31" s="106">
        <f t="shared" si="181"/>
        <v>1.8152599283369848</v>
      </c>
      <c r="AI31" s="106">
        <f t="shared" si="181"/>
        <v>2.722889892505477</v>
      </c>
      <c r="AJ31" s="106">
        <f t="shared" si="181"/>
        <v>3.6305198566739696</v>
      </c>
      <c r="AK31" s="106">
        <f t="shared" si="181"/>
        <v>4.5381498208424622</v>
      </c>
      <c r="AL31" s="106">
        <f t="shared" si="181"/>
        <v>0</v>
      </c>
      <c r="AM31" s="106">
        <f t="shared" si="181"/>
        <v>0.92124441363101972</v>
      </c>
      <c r="AN31" s="106">
        <f t="shared" si="181"/>
        <v>1.8424888272620394</v>
      </c>
      <c r="AO31" s="106">
        <f t="shared" si="181"/>
        <v>2.7637332408930591</v>
      </c>
      <c r="AP31" s="106">
        <f t="shared" si="181"/>
        <v>3.6849776545240789</v>
      </c>
      <c r="AQ31" s="106">
        <f t="shared" si="181"/>
        <v>4.6062220681550983</v>
      </c>
      <c r="AR31" s="106">
        <f t="shared" si="181"/>
        <v>0</v>
      </c>
      <c r="AS31" s="106">
        <f t="shared" si="181"/>
        <v>0.93506307983548498</v>
      </c>
      <c r="AT31" s="106">
        <f t="shared" si="181"/>
        <v>1.87012615967097</v>
      </c>
      <c r="AU31" s="106">
        <f t="shared" si="181"/>
        <v>2.805189239506455</v>
      </c>
      <c r="AV31" s="106">
        <f t="shared" ref="AV31:BG31" si="182">+AV27</f>
        <v>3.7402523193419399</v>
      </c>
      <c r="AW31" s="106">
        <f t="shared" si="182"/>
        <v>4.6753153991774248</v>
      </c>
      <c r="AX31" s="106">
        <f t="shared" si="182"/>
        <v>0</v>
      </c>
      <c r="AY31" s="106">
        <f t="shared" si="182"/>
        <v>0.94908902603301726</v>
      </c>
      <c r="AZ31" s="106">
        <f t="shared" si="182"/>
        <v>1.8981780520660345</v>
      </c>
      <c r="BA31" s="106">
        <f t="shared" si="182"/>
        <v>2.8472670780990517</v>
      </c>
      <c r="BB31" s="106">
        <f t="shared" si="182"/>
        <v>3.796356104132069</v>
      </c>
      <c r="BC31" s="106">
        <f t="shared" si="182"/>
        <v>4.745445130165086</v>
      </c>
      <c r="BD31" s="106">
        <f t="shared" si="182"/>
        <v>0</v>
      </c>
      <c r="BE31" s="106">
        <f t="shared" si="182"/>
        <v>0.96332536142351244</v>
      </c>
      <c r="BF31" s="106">
        <f t="shared" si="182"/>
        <v>1.9266507228470249</v>
      </c>
      <c r="BG31" s="106">
        <f t="shared" si="182"/>
        <v>0</v>
      </c>
    </row>
    <row r="32" spans="4:59" ht="15" customHeight="1" x14ac:dyDescent="0.2">
      <c r="D32" s="5" t="s">
        <v>78</v>
      </c>
      <c r="H32" s="107"/>
      <c r="I32" s="4">
        <f>SUM(I29:I31)</f>
        <v>129.44903350515463</v>
      </c>
      <c r="J32" s="4">
        <f t="shared" ref="J32:AU32" si="183">SUM(J29:J31)</f>
        <v>130.62487113402062</v>
      </c>
      <c r="K32" s="4">
        <f t="shared" si="183"/>
        <v>131.80070876288659</v>
      </c>
      <c r="L32" s="4">
        <f t="shared" si="183"/>
        <v>132.97654639175261</v>
      </c>
      <c r="M32" s="4">
        <f t="shared" si="183"/>
        <v>134.15238402061857</v>
      </c>
      <c r="N32" s="4">
        <f t="shared" si="183"/>
        <v>130.19729381443301</v>
      </c>
      <c r="O32" s="4">
        <f t="shared" si="183"/>
        <v>131.39076900773199</v>
      </c>
      <c r="P32" s="4">
        <f t="shared" si="183"/>
        <v>132.58424420103094</v>
      </c>
      <c r="Q32" s="4">
        <f t="shared" si="183"/>
        <v>133.77771939432992</v>
      </c>
      <c r="R32" s="4">
        <f t="shared" si="183"/>
        <v>134.9711945876289</v>
      </c>
      <c r="S32" s="4">
        <f t="shared" si="183"/>
        <v>136.16466978092785</v>
      </c>
      <c r="T32" s="4">
        <f t="shared" si="183"/>
        <v>132.15025322164951</v>
      </c>
      <c r="U32" s="4">
        <f t="shared" si="183"/>
        <v>133.36163054284796</v>
      </c>
      <c r="V32" s="4">
        <f>SUM(V29:V31)</f>
        <v>134.57300786404639</v>
      </c>
      <c r="W32" s="4">
        <f>SUM(W29:W31)</f>
        <v>135.78438518524487</v>
      </c>
      <c r="X32" s="4">
        <f t="shared" si="183"/>
        <v>136.99576250644333</v>
      </c>
      <c r="Y32" s="4">
        <f t="shared" si="183"/>
        <v>138.20713982764178</v>
      </c>
      <c r="Z32" s="4">
        <f t="shared" si="183"/>
        <v>134.13250701997424</v>
      </c>
      <c r="AA32" s="4">
        <f t="shared" si="183"/>
        <v>135.36205500099069</v>
      </c>
      <c r="AB32" s="4">
        <f t="shared" si="183"/>
        <v>136.59160298200709</v>
      </c>
      <c r="AC32" s="4">
        <f t="shared" si="183"/>
        <v>137.82115096302354</v>
      </c>
      <c r="AD32" s="4">
        <f t="shared" si="183"/>
        <v>139.05069894403994</v>
      </c>
      <c r="AE32" s="4">
        <f t="shared" si="183"/>
        <v>140.28024692505639</v>
      </c>
      <c r="AF32" s="4">
        <f t="shared" si="183"/>
        <v>136.14449462527386</v>
      </c>
      <c r="AG32" s="4">
        <f t="shared" si="183"/>
        <v>137.39248582600553</v>
      </c>
      <c r="AH32" s="4">
        <f t="shared" si="183"/>
        <v>138.64047702673722</v>
      </c>
      <c r="AI32" s="4">
        <f t="shared" si="183"/>
        <v>139.88846822746888</v>
      </c>
      <c r="AJ32" s="4">
        <f t="shared" si="183"/>
        <v>141.13645942820057</v>
      </c>
      <c r="AK32" s="4">
        <f t="shared" si="183"/>
        <v>142.38445062893223</v>
      </c>
      <c r="AL32" s="4">
        <f t="shared" si="183"/>
        <v>138.18666204465296</v>
      </c>
      <c r="AM32" s="4">
        <f t="shared" si="183"/>
        <v>139.45337311339563</v>
      </c>
      <c r="AN32" s="4">
        <f t="shared" si="183"/>
        <v>140.72008418213827</v>
      </c>
      <c r="AO32" s="4">
        <f t="shared" si="183"/>
        <v>141.98679525088093</v>
      </c>
      <c r="AP32" s="4">
        <f t="shared" si="183"/>
        <v>143.25350631962357</v>
      </c>
      <c r="AQ32" s="4">
        <f t="shared" si="183"/>
        <v>144.52021738836621</v>
      </c>
      <c r="AR32" s="4">
        <f t="shared" si="183"/>
        <v>140.25946197532275</v>
      </c>
      <c r="AS32" s="4">
        <f t="shared" si="183"/>
        <v>141.54517371009655</v>
      </c>
      <c r="AT32" s="4">
        <f t="shared" si="183"/>
        <v>142.83088544487035</v>
      </c>
      <c r="AU32" s="4">
        <f t="shared" si="183"/>
        <v>144.11659717964415</v>
      </c>
      <c r="AV32" s="4">
        <f t="shared" ref="AV32:BG32" si="184">SUM(AV29:AV31)</f>
        <v>145.40230891441792</v>
      </c>
      <c r="AW32" s="4">
        <f t="shared" si="184"/>
        <v>146.68802064919171</v>
      </c>
      <c r="AX32" s="4">
        <f t="shared" si="184"/>
        <v>142.36335390495259</v>
      </c>
      <c r="AY32" s="4">
        <f t="shared" si="184"/>
        <v>143.668351315748</v>
      </c>
      <c r="AZ32" s="4">
        <f t="shared" si="184"/>
        <v>144.97334872654341</v>
      </c>
      <c r="BA32" s="4">
        <f t="shared" si="184"/>
        <v>146.27834613733879</v>
      </c>
      <c r="BB32" s="4">
        <f t="shared" si="184"/>
        <v>147.58334354813417</v>
      </c>
      <c r="BC32" s="4">
        <f t="shared" si="184"/>
        <v>148.88834095892958</v>
      </c>
      <c r="BD32" s="4">
        <f t="shared" si="184"/>
        <v>144.49880421352688</v>
      </c>
      <c r="BE32" s="4">
        <f t="shared" si="184"/>
        <v>145.8233765854842</v>
      </c>
      <c r="BF32" s="4">
        <f t="shared" si="184"/>
        <v>147.14794895744154</v>
      </c>
      <c r="BG32" s="4">
        <f t="shared" si="184"/>
        <v>145.58254524512833</v>
      </c>
    </row>
    <row r="34" spans="4:59" ht="15" customHeight="1" x14ac:dyDescent="0.2">
      <c r="E34" s="117">
        <v>46295</v>
      </c>
      <c r="F34" s="117">
        <v>46660</v>
      </c>
    </row>
    <row r="35" spans="4:59" ht="15" customHeight="1" x14ac:dyDescent="0.2">
      <c r="D35" s="5" t="s">
        <v>77</v>
      </c>
      <c r="E35" s="118">
        <v>0.05</v>
      </c>
      <c r="F35" s="118">
        <v>7.4999999999999997E-2</v>
      </c>
      <c r="G35" s="118">
        <v>0.1</v>
      </c>
      <c r="H35" s="107"/>
      <c r="I35" s="102">
        <f>IF(I4&lt;=$E$34,$E$35,IF(I$4&lt;=$F$34,$F$35,$G$35))</f>
        <v>0.05</v>
      </c>
      <c r="J35" s="102">
        <f t="shared" ref="J35:AU35" si="185">IF(J4&lt;=$E$34,$E$35,IF(J$4&lt;=$F$34,$F$35,$G$35))</f>
        <v>0.05</v>
      </c>
      <c r="K35" s="102">
        <f t="shared" si="185"/>
        <v>0.05</v>
      </c>
      <c r="L35" s="102">
        <f t="shared" si="185"/>
        <v>0.05</v>
      </c>
      <c r="M35" s="102">
        <f t="shared" si="185"/>
        <v>0.05</v>
      </c>
      <c r="N35" s="102">
        <f t="shared" si="185"/>
        <v>0.05</v>
      </c>
      <c r="O35" s="102">
        <f t="shared" si="185"/>
        <v>0.05</v>
      </c>
      <c r="P35" s="102">
        <f t="shared" si="185"/>
        <v>0.05</v>
      </c>
      <c r="Q35" s="102">
        <f t="shared" si="185"/>
        <v>0.05</v>
      </c>
      <c r="R35" s="102">
        <f t="shared" si="185"/>
        <v>0.05</v>
      </c>
      <c r="S35" s="102">
        <f t="shared" si="185"/>
        <v>0.05</v>
      </c>
      <c r="T35" s="102">
        <f t="shared" si="185"/>
        <v>0.05</v>
      </c>
      <c r="U35" s="102">
        <f t="shared" si="185"/>
        <v>0.05</v>
      </c>
      <c r="V35" s="102">
        <f t="shared" si="185"/>
        <v>0.05</v>
      </c>
      <c r="W35" s="102">
        <f t="shared" si="185"/>
        <v>0.05</v>
      </c>
      <c r="X35" s="102">
        <f t="shared" si="185"/>
        <v>0.05</v>
      </c>
      <c r="Y35" s="102">
        <f t="shared" si="185"/>
        <v>0.05</v>
      </c>
      <c r="Z35" s="102">
        <f t="shared" si="185"/>
        <v>0.05</v>
      </c>
      <c r="AA35" s="102">
        <f t="shared" si="185"/>
        <v>0.05</v>
      </c>
      <c r="AB35" s="102">
        <f t="shared" si="185"/>
        <v>0.05</v>
      </c>
      <c r="AC35" s="102">
        <f t="shared" si="185"/>
        <v>0.05</v>
      </c>
      <c r="AD35" s="102">
        <f t="shared" si="185"/>
        <v>0.05</v>
      </c>
      <c r="AE35" s="102">
        <f t="shared" si="185"/>
        <v>0.05</v>
      </c>
      <c r="AF35" s="102">
        <f t="shared" si="185"/>
        <v>0.05</v>
      </c>
      <c r="AG35" s="102">
        <f t="shared" si="185"/>
        <v>7.4999999999999997E-2</v>
      </c>
      <c r="AH35" s="102">
        <f t="shared" si="185"/>
        <v>7.4999999999999997E-2</v>
      </c>
      <c r="AI35" s="102">
        <f t="shared" si="185"/>
        <v>7.4999999999999997E-2</v>
      </c>
      <c r="AJ35" s="102">
        <f t="shared" si="185"/>
        <v>7.4999999999999997E-2</v>
      </c>
      <c r="AK35" s="102">
        <f t="shared" si="185"/>
        <v>7.4999999999999997E-2</v>
      </c>
      <c r="AL35" s="102">
        <f t="shared" si="185"/>
        <v>7.4999999999999997E-2</v>
      </c>
      <c r="AM35" s="102">
        <f t="shared" si="185"/>
        <v>7.4999999999999997E-2</v>
      </c>
      <c r="AN35" s="102">
        <f t="shared" si="185"/>
        <v>7.4999999999999997E-2</v>
      </c>
      <c r="AO35" s="102">
        <f t="shared" si="185"/>
        <v>7.4999999999999997E-2</v>
      </c>
      <c r="AP35" s="102">
        <f t="shared" si="185"/>
        <v>7.4999999999999997E-2</v>
      </c>
      <c r="AQ35" s="102">
        <f t="shared" si="185"/>
        <v>7.4999999999999997E-2</v>
      </c>
      <c r="AR35" s="102">
        <f t="shared" si="185"/>
        <v>7.4999999999999997E-2</v>
      </c>
      <c r="AS35" s="102">
        <f t="shared" si="185"/>
        <v>0.1</v>
      </c>
      <c r="AT35" s="102">
        <f t="shared" si="185"/>
        <v>0.1</v>
      </c>
      <c r="AU35" s="102">
        <f t="shared" si="185"/>
        <v>0.1</v>
      </c>
      <c r="AV35" s="102">
        <f t="shared" ref="AV35:BG35" si="186">IF(AV4&lt;=$E$34,$E$35,IF(AV$4&lt;=$F$34,$F$35,$G$35))</f>
        <v>0.1</v>
      </c>
      <c r="AW35" s="102">
        <f t="shared" si="186"/>
        <v>0.1</v>
      </c>
      <c r="AX35" s="102">
        <f t="shared" si="186"/>
        <v>0.1</v>
      </c>
      <c r="AY35" s="102">
        <f t="shared" si="186"/>
        <v>0.1</v>
      </c>
      <c r="AZ35" s="102">
        <f t="shared" si="186"/>
        <v>0.1</v>
      </c>
      <c r="BA35" s="102">
        <f t="shared" si="186"/>
        <v>0.1</v>
      </c>
      <c r="BB35" s="102">
        <f t="shared" si="186"/>
        <v>0.1</v>
      </c>
      <c r="BC35" s="102">
        <f t="shared" si="186"/>
        <v>0.1</v>
      </c>
      <c r="BD35" s="102">
        <f t="shared" si="186"/>
        <v>0.1</v>
      </c>
      <c r="BE35" s="102">
        <f t="shared" si="186"/>
        <v>0.1</v>
      </c>
      <c r="BF35" s="102">
        <f t="shared" si="186"/>
        <v>0.1</v>
      </c>
      <c r="BG35" s="102">
        <f t="shared" si="186"/>
        <v>0.1</v>
      </c>
    </row>
    <row r="36" spans="4:59" ht="15" customHeight="1" x14ac:dyDescent="0.2">
      <c r="D36" s="105" t="s">
        <v>77</v>
      </c>
      <c r="E36" s="106"/>
      <c r="F36" s="106"/>
      <c r="G36" s="106"/>
      <c r="H36" s="108"/>
      <c r="I36" s="106">
        <f>+(I29+I30)*I35</f>
        <v>6.429693943298969</v>
      </c>
      <c r="J36" s="106">
        <f t="shared" ref="J36:BG36" si="187">+(J29+J30)*J35</f>
        <v>6.4457280927835061</v>
      </c>
      <c r="K36" s="106">
        <f t="shared" si="187"/>
        <v>6.4617622422680414</v>
      </c>
      <c r="L36" s="106">
        <f t="shared" si="187"/>
        <v>6.4777963917525785</v>
      </c>
      <c r="M36" s="106">
        <f t="shared" si="187"/>
        <v>6.4938305412371138</v>
      </c>
      <c r="N36" s="106">
        <f t="shared" si="187"/>
        <v>6.5098646907216509</v>
      </c>
      <c r="O36" s="106">
        <f t="shared" si="187"/>
        <v>6.526139352448455</v>
      </c>
      <c r="P36" s="106">
        <f t="shared" si="187"/>
        <v>6.5424140141752591</v>
      </c>
      <c r="Q36" s="106">
        <f t="shared" si="187"/>
        <v>6.5586886759020633</v>
      </c>
      <c r="R36" s="106">
        <f t="shared" si="187"/>
        <v>6.5749633376288674</v>
      </c>
      <c r="S36" s="106">
        <f t="shared" si="187"/>
        <v>6.5912379993556716</v>
      </c>
      <c r="T36" s="106">
        <f t="shared" si="187"/>
        <v>6.6075126610824757</v>
      </c>
      <c r="U36" s="106">
        <f t="shared" si="187"/>
        <v>6.6240314427351823</v>
      </c>
      <c r="V36" s="106">
        <f t="shared" si="187"/>
        <v>6.6405502243878871</v>
      </c>
      <c r="W36" s="106">
        <f t="shared" si="187"/>
        <v>6.6570690060405937</v>
      </c>
      <c r="X36" s="106">
        <f t="shared" si="187"/>
        <v>6.6735877876933003</v>
      </c>
      <c r="Y36" s="106">
        <f t="shared" si="187"/>
        <v>6.6901065693460069</v>
      </c>
      <c r="Z36" s="106">
        <f t="shared" si="187"/>
        <v>6.7066253509987126</v>
      </c>
      <c r="AA36" s="106">
        <f t="shared" si="187"/>
        <v>6.7233919143762098</v>
      </c>
      <c r="AB36" s="106">
        <f t="shared" si="187"/>
        <v>6.740158477753706</v>
      </c>
      <c r="AC36" s="106">
        <f t="shared" si="187"/>
        <v>6.7569250411312032</v>
      </c>
      <c r="AD36" s="106">
        <f t="shared" si="187"/>
        <v>6.7736916045086986</v>
      </c>
      <c r="AE36" s="106">
        <f t="shared" si="187"/>
        <v>6.7904581678861966</v>
      </c>
      <c r="AF36" s="106">
        <f t="shared" si="187"/>
        <v>6.8072247312636938</v>
      </c>
      <c r="AG36" s="106">
        <f t="shared" si="187"/>
        <v>10.236364189637777</v>
      </c>
      <c r="AH36" s="106">
        <f t="shared" si="187"/>
        <v>10.261891282380017</v>
      </c>
      <c r="AI36" s="106">
        <f t="shared" si="187"/>
        <v>10.287418375122256</v>
      </c>
      <c r="AJ36" s="106">
        <f t="shared" si="187"/>
        <v>10.312945467864495</v>
      </c>
      <c r="AK36" s="106">
        <f t="shared" si="187"/>
        <v>10.338472560606734</v>
      </c>
      <c r="AL36" s="106">
        <f t="shared" si="187"/>
        <v>10.363999653348971</v>
      </c>
      <c r="AM36" s="106">
        <f t="shared" si="187"/>
        <v>10.389909652482345</v>
      </c>
      <c r="AN36" s="106">
        <f t="shared" si="187"/>
        <v>10.415819651615717</v>
      </c>
      <c r="AO36" s="106">
        <f t="shared" si="187"/>
        <v>10.441729650749091</v>
      </c>
      <c r="AP36" s="106">
        <f t="shared" si="187"/>
        <v>10.467639649882461</v>
      </c>
      <c r="AQ36" s="106">
        <f t="shared" si="187"/>
        <v>10.493549649015833</v>
      </c>
      <c r="AR36" s="106">
        <f t="shared" si="187"/>
        <v>10.519459648149207</v>
      </c>
      <c r="AS36" s="106">
        <f t="shared" si="187"/>
        <v>14.061011063026108</v>
      </c>
      <c r="AT36" s="106">
        <f t="shared" si="187"/>
        <v>14.096075928519937</v>
      </c>
      <c r="AU36" s="106">
        <f t="shared" si="187"/>
        <v>14.131140794013769</v>
      </c>
      <c r="AV36" s="106">
        <f t="shared" si="187"/>
        <v>14.166205659507597</v>
      </c>
      <c r="AW36" s="106">
        <f t="shared" si="187"/>
        <v>14.201270525001428</v>
      </c>
      <c r="AX36" s="106">
        <f t="shared" si="187"/>
        <v>14.23633539049526</v>
      </c>
      <c r="AY36" s="106">
        <f t="shared" si="187"/>
        <v>14.271926228971498</v>
      </c>
      <c r="AZ36" s="106">
        <f t="shared" si="187"/>
        <v>14.307517067447737</v>
      </c>
      <c r="BA36" s="106">
        <f t="shared" si="187"/>
        <v>14.343107905923972</v>
      </c>
      <c r="BB36" s="106">
        <f t="shared" si="187"/>
        <v>14.378698744400211</v>
      </c>
      <c r="BC36" s="106">
        <f t="shared" si="187"/>
        <v>14.414289582876449</v>
      </c>
      <c r="BD36" s="106">
        <f t="shared" si="187"/>
        <v>14.449880421352688</v>
      </c>
      <c r="BE36" s="106">
        <f t="shared" si="187"/>
        <v>14.48600512240607</v>
      </c>
      <c r="BF36" s="106">
        <f t="shared" si="187"/>
        <v>14.522129823459451</v>
      </c>
      <c r="BG36" s="106">
        <f t="shared" si="187"/>
        <v>14.558254524512833</v>
      </c>
    </row>
    <row r="37" spans="4:59" ht="15" customHeight="1" x14ac:dyDescent="0.2">
      <c r="D37" s="5" t="s">
        <v>79</v>
      </c>
      <c r="H37" s="107"/>
      <c r="I37" s="4">
        <f>+I32+I36</f>
        <v>135.87872744845359</v>
      </c>
      <c r="J37" s="4">
        <f t="shared" ref="J37:AU37" si="188">+J32+J36</f>
        <v>137.07059922680412</v>
      </c>
      <c r="K37" s="4">
        <f t="shared" si="188"/>
        <v>138.26247100515462</v>
      </c>
      <c r="L37" s="4">
        <f t="shared" si="188"/>
        <v>139.45434278350518</v>
      </c>
      <c r="M37" s="4">
        <f t="shared" si="188"/>
        <v>140.64621456185569</v>
      </c>
      <c r="N37" s="4">
        <f t="shared" si="188"/>
        <v>136.70715850515467</v>
      </c>
      <c r="O37" s="4">
        <f t="shared" si="188"/>
        <v>137.91690836018046</v>
      </c>
      <c r="P37" s="4">
        <f t="shared" si="188"/>
        <v>139.12665821520619</v>
      </c>
      <c r="Q37" s="4">
        <f t="shared" si="188"/>
        <v>140.33640807023198</v>
      </c>
      <c r="R37" s="4">
        <f t="shared" si="188"/>
        <v>141.54615792525777</v>
      </c>
      <c r="S37" s="4">
        <f t="shared" si="188"/>
        <v>142.75590778028354</v>
      </c>
      <c r="T37" s="4">
        <f t="shared" si="188"/>
        <v>138.75776588273197</v>
      </c>
      <c r="U37" s="4">
        <f t="shared" si="188"/>
        <v>139.98566198558314</v>
      </c>
      <c r="V37" s="4">
        <f t="shared" si="188"/>
        <v>141.21355808843427</v>
      </c>
      <c r="W37" s="4">
        <f t="shared" si="188"/>
        <v>142.44145419128546</v>
      </c>
      <c r="X37" s="4">
        <f t="shared" si="188"/>
        <v>143.66935029413662</v>
      </c>
      <c r="Y37" s="4">
        <f t="shared" si="188"/>
        <v>144.89724639698778</v>
      </c>
      <c r="Z37" s="4">
        <f t="shared" si="188"/>
        <v>140.83913237097295</v>
      </c>
      <c r="AA37" s="4">
        <f t="shared" si="188"/>
        <v>142.0854469153669</v>
      </c>
      <c r="AB37" s="4">
        <f t="shared" si="188"/>
        <v>143.3317614597608</v>
      </c>
      <c r="AC37" s="4">
        <f t="shared" si="188"/>
        <v>144.57807600415475</v>
      </c>
      <c r="AD37" s="4">
        <f t="shared" si="188"/>
        <v>145.82439054854865</v>
      </c>
      <c r="AE37" s="4">
        <f t="shared" si="188"/>
        <v>147.07070509294257</v>
      </c>
      <c r="AF37" s="4">
        <f t="shared" si="188"/>
        <v>142.95171935653755</v>
      </c>
      <c r="AG37" s="4">
        <f t="shared" si="188"/>
        <v>147.62885001564331</v>
      </c>
      <c r="AH37" s="4">
        <f t="shared" si="188"/>
        <v>148.90236830911724</v>
      </c>
      <c r="AI37" s="4">
        <f t="shared" si="188"/>
        <v>150.17588660259113</v>
      </c>
      <c r="AJ37" s="4">
        <f t="shared" si="188"/>
        <v>151.44940489606506</v>
      </c>
      <c r="AK37" s="4">
        <f t="shared" si="188"/>
        <v>152.72292318953896</v>
      </c>
      <c r="AL37" s="4">
        <f t="shared" si="188"/>
        <v>148.55066169800193</v>
      </c>
      <c r="AM37" s="4">
        <f t="shared" si="188"/>
        <v>149.84328276587797</v>
      </c>
      <c r="AN37" s="4">
        <f t="shared" si="188"/>
        <v>151.13590383375399</v>
      </c>
      <c r="AO37" s="4">
        <f t="shared" si="188"/>
        <v>152.42852490163003</v>
      </c>
      <c r="AP37" s="4">
        <f t="shared" si="188"/>
        <v>153.72114596950604</v>
      </c>
      <c r="AQ37" s="4">
        <f t="shared" si="188"/>
        <v>155.01376703738202</v>
      </c>
      <c r="AR37" s="4">
        <f t="shared" si="188"/>
        <v>150.77892162347194</v>
      </c>
      <c r="AS37" s="4">
        <f t="shared" si="188"/>
        <v>155.60618477312266</v>
      </c>
      <c r="AT37" s="4">
        <f t="shared" si="188"/>
        <v>156.92696137339027</v>
      </c>
      <c r="AU37" s="4">
        <f t="shared" si="188"/>
        <v>158.24773797365791</v>
      </c>
      <c r="AV37" s="4">
        <f t="shared" ref="AV37:BG37" si="189">+AV32+AV36</f>
        <v>159.56851457392551</v>
      </c>
      <c r="AW37" s="4">
        <f t="shared" si="189"/>
        <v>160.88929117419315</v>
      </c>
      <c r="AX37" s="4">
        <f t="shared" si="189"/>
        <v>156.59968929544786</v>
      </c>
      <c r="AY37" s="4">
        <f t="shared" si="189"/>
        <v>157.94027754471949</v>
      </c>
      <c r="AZ37" s="4">
        <f t="shared" si="189"/>
        <v>159.28086579399115</v>
      </c>
      <c r="BA37" s="4">
        <f t="shared" si="189"/>
        <v>160.62145404326276</v>
      </c>
      <c r="BB37" s="4">
        <f t="shared" si="189"/>
        <v>161.96204229253436</v>
      </c>
      <c r="BC37" s="4">
        <f t="shared" si="189"/>
        <v>163.30263054180602</v>
      </c>
      <c r="BD37" s="4">
        <f t="shared" si="189"/>
        <v>158.94868463487956</v>
      </c>
      <c r="BE37" s="4">
        <f t="shared" si="189"/>
        <v>160.30938170789028</v>
      </c>
      <c r="BF37" s="4">
        <f t="shared" si="189"/>
        <v>161.67007878090101</v>
      </c>
      <c r="BG37" s="4">
        <f t="shared" si="189"/>
        <v>160.14079976964115</v>
      </c>
    </row>
    <row r="40" spans="4:59" ht="15" customHeight="1" x14ac:dyDescent="0.2">
      <c r="D40" s="103" t="s">
        <v>80</v>
      </c>
      <c r="E40" s="104"/>
      <c r="F40" s="104"/>
      <c r="G40" s="104"/>
      <c r="H40" s="104"/>
      <c r="I40" s="104"/>
      <c r="J40" s="104"/>
      <c r="K40" s="104"/>
      <c r="L40" s="104"/>
      <c r="M40" s="104"/>
      <c r="N40" s="104"/>
      <c r="O40" s="104"/>
      <c r="P40" s="104"/>
      <c r="Q40" s="104"/>
      <c r="R40" s="104"/>
      <c r="S40" s="104"/>
      <c r="T40" s="104"/>
      <c r="U40" s="104"/>
      <c r="V40" s="104"/>
      <c r="W40" s="104"/>
      <c r="X40" s="104"/>
      <c r="Y40" s="104"/>
      <c r="Z40" s="104"/>
      <c r="AA40" s="104"/>
      <c r="AB40" s="104"/>
      <c r="AC40" s="104"/>
      <c r="AD40" s="104"/>
      <c r="AE40" s="104"/>
      <c r="AF40" s="104"/>
      <c r="AG40" s="104"/>
      <c r="AH40" s="104"/>
      <c r="AI40" s="104"/>
      <c r="AJ40" s="104"/>
      <c r="AK40" s="104"/>
      <c r="AL40" s="104"/>
      <c r="AM40" s="104"/>
      <c r="AN40" s="104"/>
      <c r="AO40" s="104"/>
      <c r="AP40" s="104"/>
      <c r="AQ40" s="104"/>
      <c r="AR40" s="104"/>
      <c r="AS40" s="104"/>
      <c r="AT40" s="104"/>
      <c r="AU40" s="104"/>
      <c r="AV40" s="104"/>
      <c r="AW40" s="104"/>
      <c r="AX40" s="104"/>
      <c r="AY40" s="104"/>
      <c r="AZ40" s="104"/>
      <c r="BA40" s="104"/>
      <c r="BB40" s="104"/>
      <c r="BC40" s="104"/>
      <c r="BD40" s="104"/>
      <c r="BE40" s="104"/>
      <c r="BF40" s="104"/>
      <c r="BG40" s="104"/>
    </row>
    <row r="42" spans="4:59" ht="15" customHeight="1" x14ac:dyDescent="0.2">
      <c r="D42" s="5" t="s">
        <v>63</v>
      </c>
      <c r="H42" s="107"/>
      <c r="I42" s="111">
        <v>57.259526429349279</v>
      </c>
      <c r="J42" s="111">
        <v>56.518074034370045</v>
      </c>
      <c r="K42" s="111">
        <v>54.936946154797333</v>
      </c>
      <c r="L42" s="111">
        <v>60.762673877386696</v>
      </c>
      <c r="M42" s="111">
        <v>59.875944124259505</v>
      </c>
      <c r="N42" s="111">
        <v>58.035204742488183</v>
      </c>
      <c r="O42" s="111">
        <v>57.172365198613598</v>
      </c>
      <c r="P42" s="111">
        <v>56.322599095259591</v>
      </c>
      <c r="Q42" s="111">
        <v>60.383447059280705</v>
      </c>
      <c r="R42" s="111">
        <v>63.749588829003962</v>
      </c>
      <c r="S42" s="111">
        <v>62.130865687597151</v>
      </c>
      <c r="T42" s="111">
        <v>68.002148724632022</v>
      </c>
      <c r="U42" s="111">
        <v>66.325076791686783</v>
      </c>
      <c r="V42" s="111">
        <v>64.662640592780278</v>
      </c>
      <c r="W42" s="111">
        <v>62.058925503086961</v>
      </c>
      <c r="X42" s="111">
        <v>60.003068952340179</v>
      </c>
      <c r="Y42" s="111">
        <v>58.594578802241422</v>
      </c>
      <c r="Z42" s="111">
        <v>57.247488610162527</v>
      </c>
      <c r="AA42" s="111">
        <v>56.219596398295977</v>
      </c>
      <c r="AB42" s="111">
        <v>55.191704186429448</v>
      </c>
      <c r="AC42" s="111">
        <v>63.864551263700818</v>
      </c>
      <c r="AD42" s="111">
        <v>77.214431484779809</v>
      </c>
      <c r="AE42" s="111">
        <v>75.980068029279138</v>
      </c>
      <c r="AF42" s="111">
        <v>82.474053587548113</v>
      </c>
      <c r="AG42" s="111">
        <v>81.192986642575349</v>
      </c>
      <c r="AH42" s="111">
        <v>79.911919697602571</v>
      </c>
      <c r="AI42" s="111">
        <v>78.296381446347752</v>
      </c>
      <c r="AJ42" s="111">
        <v>75.909179487824645</v>
      </c>
      <c r="AK42" s="111">
        <v>74.651219658836141</v>
      </c>
      <c r="AL42" s="111">
        <v>73.333259829847634</v>
      </c>
      <c r="AM42" s="111">
        <v>72.07530000085913</v>
      </c>
      <c r="AN42" s="111">
        <v>73.51556082243394</v>
      </c>
      <c r="AO42" s="111">
        <v>72.209600993445434</v>
      </c>
      <c r="AP42" s="111">
        <v>75.653451353126428</v>
      </c>
      <c r="AQ42" s="111">
        <v>74.317128020993437</v>
      </c>
      <c r="AR42" s="111">
        <v>80.932804688860429</v>
      </c>
      <c r="AS42" s="111">
        <v>79.612517905801198</v>
      </c>
      <c r="AT42" s="111">
        <v>78.226194573668209</v>
      </c>
      <c r="AU42" s="111">
        <v>76.791871241535205</v>
      </c>
      <c r="AV42" s="111">
        <v>75.88038788714293</v>
      </c>
      <c r="AW42" s="111">
        <v>74.516746487980981</v>
      </c>
      <c r="AX42" s="111">
        <v>73.153105088819046</v>
      </c>
      <c r="AY42" s="111">
        <v>71.951979346381961</v>
      </c>
      <c r="AZ42" s="111">
        <v>80.750853603944861</v>
      </c>
      <c r="BA42" s="111">
        <v>82.549727861507776</v>
      </c>
      <c r="BB42" s="111">
        <v>81.298602119070694</v>
      </c>
      <c r="BC42" s="111">
        <v>80.047476376633611</v>
      </c>
      <c r="BD42" s="111">
        <v>78.796350634196529</v>
      </c>
      <c r="BE42" s="111">
        <v>77.595224891759429</v>
      </c>
      <c r="BF42" s="111">
        <v>76.394099149322344</v>
      </c>
      <c r="BG42" s="111">
        <v>77.192973406885258</v>
      </c>
    </row>
  </sheetData>
  <sheetProtection algorithmName="SHA-512" hashValue="Z2+h4TUtJRlOVRlDqM9qAXwxB3TMYvDsATKEcEwN/alRUIMwSop+D4Sd4VWVSW59A7jxASxYwgIG8SlKPOsVvQ==" saltValue="mDRcNfA/Dn1PZDks6cCG8A==" spinCount="100000" sheet="1" objects="1" scenarios="1"/>
  <pageMargins left="0.70866141732283472" right="0.70866141732283472" top="0.74803149606299213" bottom="0.74803149606299213" header="0.31496062992125984" footer="0.31496062992125984"/>
  <pageSetup scale="33" orientation="landscape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3</vt:i4>
      </vt:variant>
    </vt:vector>
  </HeadingPairs>
  <TitlesOfParts>
    <vt:vector size="7" baseType="lpstr">
      <vt:lpstr>Warrants Worked Example_vMerger</vt:lpstr>
      <vt:lpstr>Warrants Worked Example</vt:lpstr>
      <vt:lpstr>IRR</vt:lpstr>
      <vt:lpstr>Debt</vt:lpstr>
      <vt:lpstr>Debt!Print_Area</vt:lpstr>
      <vt:lpstr>'Warrants Worked Example'!Print_Area</vt:lpstr>
      <vt:lpstr>'Warrants Worked Example_vMerger'!Print_Area</vt:lpstr>
    </vt:vector>
  </TitlesOfParts>
  <Manager/>
  <Company/>
  <LinksUpToDate>false</LinksUpToDate>
  <SharedDoc>false</SharedDoc>
  <HyperlinksChanged>false</HyperlinksChanged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cp:keywords/>
  <dc:description/>
  <cp:category/>
</cp:coreProperties>
</file>